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N:\_Projects\337 - Lennar\110 - Colina Ranch Phase 1 (123 Lots)\Construction Admin\Bid Docs\Public Bid\Bid Package\"/>
    </mc:Choice>
  </mc:AlternateContent>
  <xr:revisionPtr revIDLastSave="0" documentId="8_{92EF48ED-CA12-4A33-A056-0B717C10BC04}" xr6:coauthVersionLast="47" xr6:coauthVersionMax="47" xr10:uidLastSave="{00000000-0000-0000-0000-000000000000}"/>
  <bookViews>
    <workbookView xWindow="28680" yWindow="-2010" windowWidth="29040" windowHeight="15720" tabRatio="836" activeTab="8" xr2:uid="{00000000-000D-0000-FFFF-FFFF00000000}"/>
  </bookViews>
  <sheets>
    <sheet name="BID SUMMARY" sheetId="6" r:id="rId1"/>
    <sheet name="1300.2550 Grading" sheetId="35" state="hidden" r:id="rId2"/>
    <sheet name="1300.2555 Clearing TPDES" sheetId="7" r:id="rId3"/>
    <sheet name="1300.2750 Sewer" sheetId="16" r:id="rId4"/>
    <sheet name="1300.2850 Water" sheetId="37" r:id="rId5"/>
    <sheet name="1300.3000 Drainage" sheetId="23" r:id="rId6"/>
    <sheet name="1300.3316 Streets" sheetId="39" r:id="rId7"/>
    <sheet name="1300.3316 Collector Street" sheetId="33" state="hidden" r:id="rId8"/>
    <sheet name="Add. Alt" sheetId="31" r:id="rId9"/>
  </sheets>
  <definedNames>
    <definedName name="_xlnm.Print_Area" localSheetId="1">'1300.2550 Grading'!$A$1:$F$18</definedName>
    <definedName name="_xlnm.Print_Area" localSheetId="2">'1300.2555 Clearing TPDES'!$A$1:$F$24</definedName>
    <definedName name="_xlnm.Print_Area" localSheetId="3">'1300.2750 Sewer'!$A$1:$F$43</definedName>
    <definedName name="_xlnm.Print_Area" localSheetId="4">'1300.2850 Water'!$A$1:$F$32</definedName>
    <definedName name="_xlnm.Print_Area" localSheetId="5">'1300.3000 Drainage'!$A$1:$F$29</definedName>
    <definedName name="_xlnm.Print_Area" localSheetId="7">'1300.3316 Collector Street'!$A$1:$F$26</definedName>
    <definedName name="_xlnm.Print_Area" localSheetId="6">'1300.3316 Streets'!$A$1:$F$33</definedName>
    <definedName name="_xlnm.Print_Area" localSheetId="8">'Add. Alt'!$A$1:$F$13</definedName>
    <definedName name="_xlnm.Print_Area" localSheetId="0">'BID SUMMARY'!$A$1:$F$34</definedName>
  </definedNames>
  <calcPr calcId="181029"/>
</workbook>
</file>

<file path=xl/calcChain.xml><?xml version="1.0" encoding="utf-8"?>
<calcChain xmlns="http://schemas.openxmlformats.org/spreadsheetml/2006/main">
  <c r="D10" i="7" l="1"/>
  <c r="F10" i="7" s="1"/>
  <c r="D9" i="7"/>
  <c r="D8" i="7"/>
  <c r="F9" i="7"/>
  <c r="J8" i="7"/>
  <c r="I8" i="7"/>
  <c r="H8" i="7"/>
  <c r="D7" i="39"/>
  <c r="D6" i="39"/>
  <c r="D17" i="39"/>
  <c r="F15" i="7"/>
  <c r="D8" i="39" l="1"/>
  <c r="F8" i="39" s="1"/>
  <c r="F9" i="35"/>
  <c r="D35" i="16"/>
  <c r="D34" i="16"/>
  <c r="D27" i="16"/>
  <c r="J28" i="16"/>
  <c r="P28" i="16"/>
  <c r="O28" i="16"/>
  <c r="D36" i="16"/>
  <c r="D28" i="16"/>
  <c r="D33" i="16"/>
  <c r="N33" i="16"/>
  <c r="N28" i="16"/>
  <c r="M33" i="16"/>
  <c r="M28" i="16"/>
  <c r="L28" i="16"/>
  <c r="L33" i="16"/>
  <c r="K28" i="16"/>
  <c r="D37" i="16"/>
  <c r="Q17" i="16"/>
  <c r="D24" i="16"/>
  <c r="D23" i="16"/>
  <c r="S11" i="16"/>
  <c r="D19" i="16" s="1"/>
  <c r="R9" i="16"/>
  <c r="D11" i="16" s="1"/>
  <c r="R10" i="16"/>
  <c r="D14" i="16" s="1"/>
  <c r="F14" i="16" s="1"/>
  <c r="R11" i="16"/>
  <c r="D18" i="16" s="1"/>
  <c r="Q8" i="16"/>
  <c r="O12" i="16"/>
  <c r="D22" i="16" s="1"/>
  <c r="P12" i="16"/>
  <c r="D21" i="16" s="1"/>
  <c r="P11" i="16"/>
  <c r="D17" i="16" s="1"/>
  <c r="O8" i="16"/>
  <c r="O9" i="16"/>
  <c r="D12" i="16" s="1"/>
  <c r="O10" i="16"/>
  <c r="D15" i="16" s="1"/>
  <c r="F15" i="16" s="1"/>
  <c r="N12" i="16"/>
  <c r="N13" i="16"/>
  <c r="N14" i="16"/>
  <c r="N11" i="16"/>
  <c r="N10" i="16"/>
  <c r="N9" i="16"/>
  <c r="N8" i="16"/>
  <c r="M8" i="16"/>
  <c r="D8" i="16" s="1"/>
  <c r="M7" i="16"/>
  <c r="D7" i="16" s="1"/>
  <c r="M9" i="16"/>
  <c r="M10" i="16"/>
  <c r="M11" i="16"/>
  <c r="M12" i="16"/>
  <c r="L12" i="16"/>
  <c r="L13" i="16"/>
  <c r="L14" i="16"/>
  <c r="L11" i="16"/>
  <c r="L10" i="16"/>
  <c r="L9" i="16"/>
  <c r="K9" i="16"/>
  <c r="K10" i="16"/>
  <c r="K11" i="16"/>
  <c r="K12" i="16"/>
  <c r="K13" i="16"/>
  <c r="K14" i="16"/>
  <c r="J10" i="16"/>
  <c r="J11" i="16"/>
  <c r="J12" i="16"/>
  <c r="J9" i="16"/>
  <c r="D26" i="37"/>
  <c r="D25" i="37"/>
  <c r="F25" i="37" s="1"/>
  <c r="D24" i="37"/>
  <c r="D23" i="37"/>
  <c r="O24" i="37"/>
  <c r="O25" i="37"/>
  <c r="O26" i="37"/>
  <c r="O23" i="37"/>
  <c r="N23" i="37"/>
  <c r="A25" i="37"/>
  <c r="M24" i="37"/>
  <c r="K24" i="37"/>
  <c r="J24" i="37"/>
  <c r="I24" i="37"/>
  <c r="O10" i="37"/>
  <c r="D10" i="37" s="1"/>
  <c r="F16" i="7"/>
  <c r="D7" i="37"/>
  <c r="O7" i="37"/>
  <c r="H19" i="16"/>
  <c r="F8" i="31"/>
  <c r="H7" i="31"/>
  <c r="D7" i="31" s="1"/>
  <c r="H6" i="31"/>
  <c r="D6" i="31" s="1"/>
  <c r="F21" i="39"/>
  <c r="H19" i="39"/>
  <c r="D19" i="39" s="1"/>
  <c r="H20" i="39"/>
  <c r="D20" i="39" s="1"/>
  <c r="D20" i="16" l="1"/>
  <c r="F22" i="16"/>
  <c r="F21" i="16"/>
  <c r="F18" i="16"/>
  <c r="F17" i="16"/>
  <c r="D16" i="16"/>
  <c r="D13" i="16"/>
  <c r="F19" i="16"/>
  <c r="D9" i="16"/>
  <c r="F9" i="16" s="1"/>
  <c r="D10" i="16"/>
  <c r="F12" i="16"/>
  <c r="F11" i="16"/>
  <c r="D16" i="39"/>
  <c r="D15" i="39"/>
  <c r="D14" i="39" l="1"/>
  <c r="D13" i="39"/>
  <c r="D23" i="23" l="1"/>
  <c r="K24" i="23"/>
  <c r="K23" i="23"/>
  <c r="K22" i="23"/>
  <c r="K20" i="23"/>
  <c r="K21" i="23"/>
  <c r="F23" i="23"/>
  <c r="F21" i="23"/>
  <c r="F22" i="23"/>
  <c r="F20" i="23"/>
  <c r="H12" i="23" l="1"/>
  <c r="F14" i="23"/>
  <c r="F17" i="23" l="1"/>
  <c r="D12" i="23"/>
  <c r="H13" i="23"/>
  <c r="D13" i="23" s="1"/>
  <c r="F13" i="23" s="1"/>
  <c r="F36" i="16" l="1"/>
  <c r="F24" i="37"/>
  <c r="F26" i="37"/>
  <c r="F23" i="37"/>
  <c r="D22" i="37"/>
  <c r="F22" i="37" s="1"/>
  <c r="F20" i="37"/>
  <c r="F19" i="37"/>
  <c r="D15" i="37"/>
  <c r="F15" i="37" s="1"/>
  <c r="F13" i="37"/>
  <c r="F14" i="37"/>
  <c r="D8" i="37"/>
  <c r="F8" i="37" s="1"/>
  <c r="H20" i="16"/>
  <c r="F7" i="16"/>
  <c r="F23" i="16"/>
  <c r="F24" i="16"/>
  <c r="H13" i="7"/>
  <c r="D13" i="7" s="1"/>
  <c r="H12" i="7"/>
  <c r="D12" i="7" s="1"/>
  <c r="H11" i="7"/>
  <c r="F2" i="31"/>
  <c r="F1" i="31"/>
  <c r="F2" i="39"/>
  <c r="F1" i="39"/>
  <c r="F2" i="23"/>
  <c r="F1" i="23"/>
  <c r="F2" i="37"/>
  <c r="F1" i="37"/>
  <c r="F2" i="16"/>
  <c r="F1" i="16"/>
  <c r="F2" i="7"/>
  <c r="F1" i="7"/>
  <c r="F2" i="35"/>
  <c r="F1" i="35"/>
  <c r="F6" i="39"/>
  <c r="A7" i="39"/>
  <c r="A10" i="39" s="1"/>
  <c r="A11" i="39" s="1"/>
  <c r="A12" i="39" s="1"/>
  <c r="A13" i="39" s="1"/>
  <c r="A14" i="39" s="1"/>
  <c r="A15" i="39" s="1"/>
  <c r="A16" i="39" s="1"/>
  <c r="F7" i="39"/>
  <c r="F9" i="39"/>
  <c r="F10" i="39"/>
  <c r="F11" i="39"/>
  <c r="F12" i="39"/>
  <c r="F13" i="39"/>
  <c r="F14" i="39"/>
  <c r="F15" i="39"/>
  <c r="F16" i="39"/>
  <c r="F17" i="39"/>
  <c r="F18" i="39"/>
  <c r="F19" i="39"/>
  <c r="F20" i="39"/>
  <c r="F22" i="39"/>
  <c r="F23" i="39"/>
  <c r="F24" i="39"/>
  <c r="F25" i="39"/>
  <c r="F26" i="39"/>
  <c r="F27" i="39"/>
  <c r="F15" i="23"/>
  <c r="F6" i="37"/>
  <c r="A7" i="37"/>
  <c r="A8" i="37" s="1"/>
  <c r="A9" i="37" s="1"/>
  <c r="A10" i="37" s="1"/>
  <c r="A11" i="37" s="1"/>
  <c r="A12" i="37" s="1"/>
  <c r="A13" i="37" s="1"/>
  <c r="A14" i="37" s="1"/>
  <c r="A15" i="37" s="1"/>
  <c r="A16" i="37" s="1"/>
  <c r="A17" i="37" s="1"/>
  <c r="A18" i="37" s="1"/>
  <c r="F7" i="37"/>
  <c r="F9" i="37"/>
  <c r="F10" i="37"/>
  <c r="F11" i="37"/>
  <c r="F12" i="37"/>
  <c r="F16" i="37"/>
  <c r="F18" i="37"/>
  <c r="F21" i="37"/>
  <c r="D30" i="16" l="1"/>
  <c r="D32" i="16" s="1"/>
  <c r="A17" i="39"/>
  <c r="A18" i="39" s="1"/>
  <c r="A19" i="37"/>
  <c r="F27" i="37"/>
  <c r="F28" i="39"/>
  <c r="F8" i="35"/>
  <c r="F28" i="16"/>
  <c r="A19" i="39" l="1"/>
  <c r="A20" i="39" s="1"/>
  <c r="A20" i="37"/>
  <c r="A21" i="37" s="1"/>
  <c r="A22" i="37" s="1"/>
  <c r="F10" i="16"/>
  <c r="F20" i="16"/>
  <c r="F13" i="16"/>
  <c r="F16" i="16"/>
  <c r="F35" i="16"/>
  <c r="F37" i="16"/>
  <c r="F7" i="35"/>
  <c r="F32" i="16"/>
  <c r="F33" i="16"/>
  <c r="F34" i="16"/>
  <c r="F7" i="7"/>
  <c r="F6" i="7"/>
  <c r="F25" i="16"/>
  <c r="F26" i="16"/>
  <c r="F27" i="16"/>
  <c r="F29" i="16"/>
  <c r="F31" i="16"/>
  <c r="A21" i="39" l="1"/>
  <c r="A22" i="39" s="1"/>
  <c r="A23" i="39" s="1"/>
  <c r="A23" i="37"/>
  <c r="A24" i="37" s="1"/>
  <c r="F30" i="16"/>
  <c r="F8" i="16"/>
  <c r="A24" i="39" l="1"/>
  <c r="A25" i="39" s="1"/>
  <c r="A26" i="39" s="1"/>
  <c r="A27" i="39" s="1"/>
  <c r="P14" i="33"/>
  <c r="P15" i="33" s="1"/>
  <c r="O13" i="33"/>
  <c r="M6" i="33"/>
  <c r="N6" i="33" s="1"/>
  <c r="G8" i="33"/>
  <c r="J18" i="33" l="1"/>
  <c r="J13" i="33"/>
  <c r="J14" i="33" s="1"/>
  <c r="M18" i="33"/>
  <c r="L15" i="33"/>
  <c r="L16" i="33" s="1"/>
  <c r="M17" i="33" s="1"/>
  <c r="F11" i="7"/>
  <c r="L26" i="7"/>
  <c r="M25" i="7"/>
  <c r="M24" i="7"/>
  <c r="M26" i="7" s="1"/>
  <c r="H28" i="7"/>
  <c r="I25" i="7"/>
  <c r="I26" i="7"/>
  <c r="I27" i="7"/>
  <c r="I24" i="7"/>
  <c r="I28" i="7" l="1"/>
  <c r="F19" i="33"/>
  <c r="F18" i="33"/>
  <c r="F17" i="33"/>
  <c r="F15" i="33"/>
  <c r="F12" i="33"/>
  <c r="F11" i="33"/>
  <c r="F10" i="33"/>
  <c r="F9" i="33"/>
  <c r="A7" i="33"/>
  <c r="A8" i="33" s="1"/>
  <c r="A9" i="33" s="1"/>
  <c r="A10" i="33" s="1"/>
  <c r="A11" i="33" s="1"/>
  <c r="A12" i="33" s="1"/>
  <c r="A13" i="33" s="1"/>
  <c r="A14" i="33" s="1"/>
  <c r="A15" i="33" s="1"/>
  <c r="F13" i="7"/>
  <c r="F14" i="7"/>
  <c r="A7" i="7"/>
  <c r="A8" i="7" s="1"/>
  <c r="A12" i="7" s="1"/>
  <c r="A13" i="7" s="1"/>
  <c r="A14" i="7" s="1"/>
  <c r="A15" i="7" s="1"/>
  <c r="A17" i="33" l="1"/>
  <c r="A18" i="33" s="1"/>
  <c r="A19" i="33" s="1"/>
  <c r="F20" i="33"/>
  <c r="A25" i="16"/>
  <c r="A26" i="16" s="1"/>
  <c r="A27" i="16" s="1"/>
  <c r="A28" i="16" s="1"/>
  <c r="A29" i="16" s="1"/>
  <c r="A30" i="16" s="1"/>
  <c r="A31" i="16" s="1"/>
  <c r="A8" i="23" l="1"/>
  <c r="A9" i="23" s="1"/>
  <c r="A10" i="23" s="1"/>
  <c r="A12" i="23" s="1"/>
  <c r="A13" i="23" s="1"/>
  <c r="A14" i="23" s="1"/>
  <c r="A15" i="23" s="1"/>
  <c r="A16" i="23" s="1"/>
  <c r="A17" i="23" s="1"/>
  <c r="A18" i="23" s="1"/>
  <c r="F8" i="23" l="1"/>
  <c r="F9" i="23"/>
  <c r="F12" i="23"/>
  <c r="F16" i="23"/>
  <c r="F18" i="23"/>
  <c r="F7" i="23"/>
  <c r="F8" i="7"/>
  <c r="F12" i="7"/>
  <c r="F38" i="16" l="1"/>
  <c r="F17" i="7"/>
  <c r="F10" i="23" l="1"/>
  <c r="F24" i="23" s="1"/>
  <c r="AF9" i="16"/>
  <c r="AE9" i="16"/>
</calcChain>
</file>

<file path=xl/sharedStrings.xml><?xml version="1.0" encoding="utf-8"?>
<sst xmlns="http://schemas.openxmlformats.org/spreadsheetml/2006/main" count="605" uniqueCount="240">
  <si>
    <t>Job No.</t>
  </si>
  <si>
    <t>BID SUMMARY</t>
  </si>
  <si>
    <t>1300.2750 SANITARY SEWER IMPROVEMENTS</t>
  </si>
  <si>
    <t>1300.2850 WATER IMPROVEMENTS</t>
  </si>
  <si>
    <t>1300.3000 DRAINAGE IMPROVEMENTS</t>
  </si>
  <si>
    <t>1300.3316 STREET IMPROVEMENTS</t>
  </si>
  <si>
    <t>TOTAL BASE BID:</t>
  </si>
  <si>
    <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</si>
  <si>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</si>
  <si>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</si>
  <si>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Bidders Initials</t>
  </si>
  <si>
    <t>Date</t>
  </si>
  <si>
    <t xml:space="preserve">BID PROPOSAL SUMMARY
                                                                        </t>
  </si>
  <si>
    <t>NO.</t>
  </si>
  <si>
    <t>DESCRIPTION</t>
  </si>
  <si>
    <t>UNIT OF MEASURE</t>
  </si>
  <si>
    <t>APPROX. QUANTITIES</t>
  </si>
  <si>
    <t>UNIT PRICES</t>
  </si>
  <si>
    <t>COST</t>
  </si>
  <si>
    <t>CY</t>
  </si>
  <si>
    <t>TOTAL COST</t>
  </si>
  <si>
    <t>Stabilized Construction Entrance</t>
  </si>
  <si>
    <t>EA</t>
  </si>
  <si>
    <t>Concrete Washout Pit</t>
  </si>
  <si>
    <t>LF</t>
  </si>
  <si>
    <t>VF</t>
  </si>
  <si>
    <t xml:space="preserve">Trench Excavation Protection </t>
  </si>
  <si>
    <t>SY</t>
  </si>
  <si>
    <t xml:space="preserve">TOTAL COST </t>
  </si>
  <si>
    <t xml:space="preserve">4' Sidewalk </t>
  </si>
  <si>
    <t xml:space="preserve">LS </t>
  </si>
  <si>
    <t>Concrete Curb and Gutter</t>
  </si>
  <si>
    <t>ADA Ramps</t>
  </si>
  <si>
    <t>Casing</t>
  </si>
  <si>
    <t>Total</t>
  </si>
  <si>
    <t>SS&gt;8</t>
  </si>
  <si>
    <t>SS&lt;8</t>
  </si>
  <si>
    <t>Line D</t>
  </si>
  <si>
    <t>C2.01, also hammer head curb and gutter area?</t>
  </si>
  <si>
    <t>Rock Berm</t>
  </si>
  <si>
    <t>Prepared by:</t>
  </si>
  <si>
    <t>Reviewed by:</t>
  </si>
  <si>
    <t>JK</t>
  </si>
  <si>
    <t>X</t>
  </si>
  <si>
    <t>tee</t>
  </si>
  <si>
    <t>12-8 reducer</t>
  </si>
  <si>
    <t>rwgv</t>
  </si>
  <si>
    <t>Prime coat shall be included in costs of related bid items</t>
  </si>
  <si>
    <t>**</t>
  </si>
  <si>
    <t xml:space="preserve">No separate payment shall be made for utility excavation. Excess material generated from excavation shall be processed and used to meet the fill requirements for the project or hauled off and disposed of by the constractor. Include costs in related bid items. </t>
  </si>
  <si>
    <t>Mandrel and Vacuum Testing</t>
  </si>
  <si>
    <t xml:space="preserve">8" C-900 PVC Pipe </t>
  </si>
  <si>
    <t>Total Drainage Improvements</t>
  </si>
  <si>
    <t xml:space="preserve">Drainage Excavation </t>
  </si>
  <si>
    <t>Drainage Embankment</t>
  </si>
  <si>
    <t>End of Road (Bollards and Markers)</t>
  </si>
  <si>
    <t>Signage Striping</t>
  </si>
  <si>
    <t>R.O.W. Clearing and Grubbing</t>
  </si>
  <si>
    <t xml:space="preserve">R.O.W. Revegetation </t>
  </si>
  <si>
    <t>ALTERNATE BID ITEMS</t>
  </si>
  <si>
    <t xml:space="preserve">BIDDER'S NAME: </t>
  </si>
  <si>
    <t xml:space="preserve">ADDRESS: </t>
  </si>
  <si>
    <t xml:space="preserve">SIGNATURE AND TITLE: </t>
  </si>
  <si>
    <t xml:space="preserve">DATE: </t>
  </si>
  <si>
    <t>1300.2555 EROSION AND SEDIMENTATION CONTROL</t>
  </si>
  <si>
    <t>Street sections provided above are directly from the City of New Braunfels "One &amp; Two Family Residential Local" detail. The Geotechnical Engineer has provided alternate options involving geogrid and lime stabilization that result in reduced base sections. Please note that even if instructed to use an alternate street section, that all requirements in the City of New Braunfels detail shall be met, including, but not limited to, the base being extended 1 foot beyond the back of curb with a 6" minimum thickness.</t>
  </si>
  <si>
    <t>3" HMAC Type "D" with Prime Coat (Local)</t>
  </si>
  <si>
    <t>Sky Ranch Unit 2A</t>
  </si>
  <si>
    <t>01.10.25</t>
  </si>
  <si>
    <t>AE</t>
  </si>
  <si>
    <t>Standard Sanitary Manhole</t>
  </si>
  <si>
    <t>LS</t>
  </si>
  <si>
    <t>Extra Depth Manhole</t>
  </si>
  <si>
    <t>Trech Excavation Protection</t>
  </si>
  <si>
    <t>Meter Boxes</t>
  </si>
  <si>
    <t>TN</t>
  </si>
  <si>
    <t>15" Flex Base (Collector)</t>
  </si>
  <si>
    <t>6" Lime Stabalized Subgrade</t>
  </si>
  <si>
    <t>GAL</t>
  </si>
  <si>
    <t>Prime Coat</t>
  </si>
  <si>
    <t>4-7" Hike &amp; Bike Trail Aggregate</t>
  </si>
  <si>
    <t>5" Concrete Pavement</t>
  </si>
  <si>
    <t>rock berm</t>
  </si>
  <si>
    <t>earthen berm</t>
  </si>
  <si>
    <t>3" HMAC Type "D" with Prime Coat (Collector)</t>
  </si>
  <si>
    <t>12" Flex Base (Local)</t>
  </si>
  <si>
    <t>HMAC COLECTOR</t>
  </si>
  <si>
    <t>SIDEWALK</t>
  </si>
  <si>
    <t>CG</t>
  </si>
  <si>
    <t>hike/bike</t>
  </si>
  <si>
    <t>FLEX</t>
  </si>
  <si>
    <t>4 BENCHES</t>
  </si>
  <si>
    <t>Earthen Check Berm</t>
  </si>
  <si>
    <t>Curb Inlet Protection (Filter Dike)</t>
  </si>
  <si>
    <t>AC</t>
  </si>
  <si>
    <r>
      <t xml:space="preserve">Commence of Construction:
1.   Initial project clearing will need to be limited to the locations of the proposed temporary SWP3 Best Management Practices (BMP) designed by the engineer.   These BMPs may include, but are not limited to:
Stabilized Construction Exit(s), Silt Fence, Discharge Point Rock Berms/Check Dams, Trash containment, Temporary Sediment Basins (if applicable), Demarcation of protected site features  for example; Wetlands, Environmental Buffers, Caves or Solution Features,  and Habitats, 
2.   Prior to commencement of additional clearing or earth disturbing activities, the proposed BMPs will need to be installed by the Contractor and inspected by a Lennar Representative.   Contractor must provide at minimum, 48-hours of notice to Lennar when the BMPs are scheduled to be installed and completed.  The Lennar Representative will coordinate the Land Development Manager to release the project for construction. </t>
    </r>
    <r>
      <rPr>
        <b/>
        <sz val="9"/>
        <rFont val="Arial"/>
        <family val="2"/>
      </rPr>
      <t xml:space="preserve">
 When the project is located within the Bexar County controlled MS4, the Contractor must provide 48-hours of notice to the assigned Bexar County SWP3 Inspector noted on the Storm Water Quality (SWQ) permit letter.
</t>
    </r>
    <r>
      <rPr>
        <sz val="9"/>
        <rFont val="Arial"/>
        <family val="2"/>
      </rPr>
      <t xml:space="preserve">3.   When a Temporary Sediment Basin is required for the project, limited clearing of the proposed basin location and any material borrow areas to construct the Temporary Sediment Basin may occur during the initial BMP installation period.  The Temporary Sediment Basin must be completely constructed to Engineer’s design.  This may include the following; Construction of the dewatering structure (Riser Pipe or Fair Cloth Skimmer and pump), Construction of the Emergency Overflow Structure, Installation of a sediment depth marker.  Note-Once accessible to appropriate equipment, the only the Temporary Sediment Basin berms/slopes shall be temporarily stabilized. 
4.  General Contractor is to maintain all pollution control measures in effective operating condition throughout the contract period to the extent achievable.  To ensure BMPs are operating effectively, and in accordance with the Construction General Permit, Lennar will provide regular and if applicable, post-rain event BMP inspections and inspection reports.  The General Contractor will be provided an electronic copy of the BMP inspection report via email.   weekly regarding issues with BMPs at the project through the Lennar SWP3 Inspection process.  Items noted in the BMP Inspection report must be addressed by the General Contractor as soon as possible, and within 7 calendar days.  General Contractor shall provide documentation to the assigned Lennar Land Development Project Manager to include:
a. Actions taken in response to the BMP inspection report and date(s) the actions were completed or, 
b. Statement of extenuating circumstance as to why an item could not be completed within the 7-day timeframe and proposed scheduled date of completion.
5. Contractor to maintain Spill Response Supplies/Kit at the project location while actively working onsite. 
6. When dewatering activities discharge into onsite creeks or rivers, or discharge outside the limits of construction, daily dewatering inspections must be documented in accordance with the 03.05.2023 TCEQ Construction General Permit.  Daily report must be sent to Lennar within 24-hours.                                </t>
    </r>
  </si>
  <si>
    <t>Sanitary Sewer Lateral w/ Cleanout (Single) - Long</t>
  </si>
  <si>
    <t>Sanitary Sewer Lateral w/ Cleanout (Single) - Short</t>
  </si>
  <si>
    <t xml:space="preserve">   8" SDR 26 ASTM 3034 (6'-8')</t>
  </si>
  <si>
    <t xml:space="preserve">   8" SDR 26 ASTM 3034 (8'-10')</t>
  </si>
  <si>
    <t xml:space="preserve">   8" SDR 26 ASTM 3034 (10'-12')</t>
  </si>
  <si>
    <t xml:space="preserve">   8" SDR 26 ASTM 3034 (12'-14')</t>
  </si>
  <si>
    <t xml:space="preserve">   8" SDR 26 ASTM 3034 (14'-16')</t>
  </si>
  <si>
    <t>Connect to Existing Stub-out</t>
  </si>
  <si>
    <t>TV / Video Sewer Line</t>
  </si>
  <si>
    <t>Vertical Stacks</t>
  </si>
  <si>
    <t>Vented Manhole</t>
  </si>
  <si>
    <t>Cap and Mark End</t>
  </si>
  <si>
    <t>All embankment areas shall be placed and compacted in accordance with the project specification. 79G letters will need to be provided for embankment in proposed and future residential lot areas.</t>
  </si>
  <si>
    <t>Contractor to field verify and survey the existing site topography and submit information to engineer prior to submitting final bid for verification. No shrinkage or swelling factor is accounted for in the engineering excavation and embankment quantities. Contractor to adjust unit price as he deems necessary to account for shrinkage and swelling.</t>
  </si>
  <si>
    <t>BID PROPOSAL SCHEDULE
KYNDWOOD  UNIT 2 &amp; 2A</t>
  </si>
  <si>
    <t>No shrinkage or swelling factor is accounted for in the engineering excavation and embankment quantities. Contractor to adjust unit price as he deems necessary to account for shrinkage and swelling.</t>
  </si>
  <si>
    <t xml:space="preserve">Includes Bid Bond, Warranty Assignments or Bonds, Per City of New Braunfels, and NBU Requirements. </t>
  </si>
  <si>
    <t>All final lot grading shall be compacted in accordance with notes on the Lot Grading Plan, see sheets C3.0, C3.1, C3.2.</t>
  </si>
  <si>
    <t>Street Excavation</t>
  </si>
  <si>
    <t xml:space="preserve">Street Embankment </t>
  </si>
  <si>
    <t>Mail Box Pad</t>
  </si>
  <si>
    <t>Prime Coat (Local)</t>
  </si>
  <si>
    <t>Prime Coat (Collector)</t>
  </si>
  <si>
    <t>Concrete Curb and Gutter (Local)</t>
  </si>
  <si>
    <t>Concrete Curb and Gutter (Collector)</t>
  </si>
  <si>
    <t xml:space="preserve">Ductile Iron Fitting </t>
  </si>
  <si>
    <t>Hydro Static Testing</t>
  </si>
  <si>
    <t>Machine Chlorination</t>
  </si>
  <si>
    <t>2" Permanent Blowoff</t>
  </si>
  <si>
    <t>Lot Excavation</t>
  </si>
  <si>
    <t>Lot Embankment</t>
  </si>
  <si>
    <t>1300.2550 GRADING IMPROVEMENTS</t>
  </si>
  <si>
    <t>Embakment in Future Lots</t>
  </si>
  <si>
    <t>Fire Hydrant Assembly with 6" Gate Valve</t>
  </si>
  <si>
    <t>8" Gate Valve MJ with box</t>
  </si>
  <si>
    <t>BID PROPOSAL SCHEDULE
COLINA RANCH UNIT 1</t>
  </si>
  <si>
    <t>KD</t>
  </si>
  <si>
    <t>COLINA RANCH UNIT 1</t>
  </si>
  <si>
    <t>14-16</t>
  </si>
  <si>
    <t>12-14</t>
  </si>
  <si>
    <t>10-12</t>
  </si>
  <si>
    <t>8-10</t>
  </si>
  <si>
    <t>6-8</t>
  </si>
  <si>
    <t>16-18</t>
  </si>
  <si>
    <t>18-20</t>
  </si>
  <si>
    <t>0-6</t>
  </si>
  <si>
    <t>kd</t>
  </si>
  <si>
    <t>Drop Manhole</t>
  </si>
  <si>
    <t>16" C-900 PVC Pipe</t>
  </si>
  <si>
    <t>16" Gate Valve MJ with box</t>
  </si>
  <si>
    <t>3/4" Long Dual Service</t>
  </si>
  <si>
    <t>3/4" Long Single Service</t>
  </si>
  <si>
    <t>3/4" Short Dual Service</t>
  </si>
  <si>
    <t>3/4" Short Single Service</t>
  </si>
  <si>
    <t>2" Temporary Blowoff</t>
  </si>
  <si>
    <t>Air Release Assembly</t>
  </si>
  <si>
    <t>42" Steel Split Casing with Spacers</t>
  </si>
  <si>
    <t>30" Steel Casing with Spacers</t>
  </si>
  <si>
    <t>STORM LINE A</t>
  </si>
  <si>
    <t>2'x2' Single Box Culvert</t>
  </si>
  <si>
    <t>3'x2' Single Box Culvert</t>
  </si>
  <si>
    <t>Safety End Treatment (TxDOT SET B-SW-0)</t>
  </si>
  <si>
    <t>20' Curb Inlet</t>
  </si>
  <si>
    <t>6" D50 Rock-Rap</t>
  </si>
  <si>
    <t>14" D50 Rock-Rap</t>
  </si>
  <si>
    <t>4'x4' J.B.</t>
  </si>
  <si>
    <t>DETENTION POND</t>
  </si>
  <si>
    <t>6-8" D50 Rock-Rap</t>
  </si>
  <si>
    <t>Pilot Channel</t>
  </si>
  <si>
    <t>6" Water Quality PVC Pipe</t>
  </si>
  <si>
    <t>8" 3600 PSI Concrete Rip-Rap W/ 24" Toe Down All Edges</t>
  </si>
  <si>
    <t>Outfall</t>
  </si>
  <si>
    <t>US Wings</t>
  </si>
  <si>
    <t>DS Wings</t>
  </si>
  <si>
    <t>Wier</t>
  </si>
  <si>
    <t>Enire Top View</t>
  </si>
  <si>
    <t>Dissipators</t>
  </si>
  <si>
    <t>4.5" HMAC Type "D" with Prime Coat (Collector)</t>
  </si>
  <si>
    <t>8" Lime Stabalized Subgrade (Local)</t>
  </si>
  <si>
    <t>16" Flex Base (Collector)</t>
  </si>
  <si>
    <t>8" Lime Stabalized Subgrade (Collector)</t>
  </si>
  <si>
    <t xml:space="preserve">HS-20 Rated 4' Sidewalk </t>
  </si>
  <si>
    <t>C6.03</t>
  </si>
  <si>
    <t>C6.04</t>
  </si>
  <si>
    <t>C6.05</t>
  </si>
  <si>
    <t>C6.06</t>
  </si>
  <si>
    <t>C6.07</t>
  </si>
  <si>
    <t>C6.08</t>
  </si>
  <si>
    <t>Haul Off</t>
  </si>
  <si>
    <t>c6.09</t>
  </si>
  <si>
    <t>24" PVC Casing with Spacers</t>
  </si>
  <si>
    <t>30" PVC Casing with Spacers</t>
  </si>
  <si>
    <t>c7.03</t>
  </si>
  <si>
    <t>c7.04</t>
  </si>
  <si>
    <t>c7.05</t>
  </si>
  <si>
    <t>c7.06</t>
  </si>
  <si>
    <t>c7.07</t>
  </si>
  <si>
    <t>c7.08</t>
  </si>
  <si>
    <t>c7.09</t>
  </si>
  <si>
    <t>c7.10</t>
  </si>
  <si>
    <t>24"</t>
  </si>
  <si>
    <t>8"</t>
  </si>
  <si>
    <t>18"</t>
  </si>
  <si>
    <t>15"</t>
  </si>
  <si>
    <t>Sanitary Sewer Pipe</t>
  </si>
  <si>
    <t xml:space="preserve">   15" SDR 26 ASTM 3034 (8'-10')</t>
  </si>
  <si>
    <t xml:space="preserve">   24" SDR 26 ASTM 3034 (8'-10')</t>
  </si>
  <si>
    <t xml:space="preserve">   24" SDR 26 ASTM 3034 (6'-8')</t>
  </si>
  <si>
    <t xml:space="preserve">   24" SDR 26 ASTM 3034 (0'-6')</t>
  </si>
  <si>
    <t xml:space="preserve">   24" SDR 26 ASTM 3034 (10'-12')</t>
  </si>
  <si>
    <t xml:space="preserve">   15" SDR 26 ASTM 3034 (10'-12')</t>
  </si>
  <si>
    <t xml:space="preserve">   24" SDR 26 ASTM 3034 (12'-14')</t>
  </si>
  <si>
    <t xml:space="preserve">   18" SDR 26 ASTM 3034 (12'-14')</t>
  </si>
  <si>
    <t xml:space="preserve">   15" SDR 26 ASTM 3034 (12'-14')</t>
  </si>
  <si>
    <t xml:space="preserve">   24" SDR 26 ASTM 3034 (14'-16')</t>
  </si>
  <si>
    <t xml:space="preserve">   18" SDR 26 ASTM 3034 (14'-16')</t>
  </si>
  <si>
    <t xml:space="preserve">   24" SDR 26 ASTM 3034 (16'-18')</t>
  </si>
  <si>
    <t xml:space="preserve">   24" SDR 26 ASTM 3034 (18'-20') </t>
  </si>
  <si>
    <t>C7.01</t>
  </si>
  <si>
    <t>C7.02</t>
  </si>
  <si>
    <t>C7.03</t>
  </si>
  <si>
    <t>C7.04</t>
  </si>
  <si>
    <t>C7.05</t>
  </si>
  <si>
    <t>C7.06</t>
  </si>
  <si>
    <t>C7.07</t>
  </si>
  <si>
    <t>36" Steel Casing with Spacers</t>
  </si>
  <si>
    <t>Import From Botanical Farms</t>
  </si>
  <si>
    <t>PERFORMANCE AND PAYMENT BOND</t>
  </si>
  <si>
    <t>***</t>
  </si>
  <si>
    <t>Re-inspections and cancellation fees from Geotech will be paid by contractor.</t>
  </si>
  <si>
    <t>TOTAL BID:</t>
  </si>
  <si>
    <t>Cleaning &amp; Grubbing Lot Area</t>
  </si>
  <si>
    <t>Revegetation of Disturbed Area</t>
  </si>
  <si>
    <t>Revegetation Drainage Area</t>
  </si>
  <si>
    <t>Clearing and Grubbing Drainage Area</t>
  </si>
  <si>
    <t>Header Curb</t>
  </si>
  <si>
    <t>2.5" PVC Conduit (Street Crossing Only)</t>
  </si>
  <si>
    <t>4" PVC Conduit (Street Crossing Only)</t>
  </si>
  <si>
    <t>PHASE 1</t>
  </si>
  <si>
    <t>PHASE 2</t>
  </si>
  <si>
    <t>PHASE 3</t>
  </si>
  <si>
    <t>Silt Fence "Phase 1"</t>
  </si>
  <si>
    <t>Silt Fence "Phase 2 with caps"</t>
  </si>
  <si>
    <t>Silt Fence "Phase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</si>
</sst>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
    <numFmt numFmtId="165" formatCode="####"/>
    <numFmt numFmtId="166" formatCode="#"/>
    <numFmt numFmtId="167" formatCode="#,###"/>
    <numFmt numFmtId="168" formatCode="&quot;$&quot;#,##0.00"/>
    <numFmt numFmtId="169" formatCode="0.0"/>
    <numFmt numFmtId="170" formatCode="#,##0.0"/>
    <numFmt numFmtId="171" formatCode="#.00"/>
    <numFmt numFmtId="172" formatCode="0.000"/>
  </numFmts>
  <fonts count="24" x14ac:knownFonts="1">
    <font>
      <sz val="10"/>
      <name val="Arial"/>
    </font>
    <font>
      <b/>
      <sz val="10"/>
      <name val="Arial"/>
      <family val="2"/>
    </font>
    <font>
      <sz val="10"/>
      <name val="Arial"/>
      <family val="2"/>
    </font>
    <font>
      <b/>
      <sz val="14"/>
      <name val="Arial"/>
      <family val="2"/>
    </font>
    <font>
      <sz val="12"/>
      <name val="Arial"/>
      <family val="2"/>
    </font>
    <font>
      <sz val="14"/>
      <name val="Arial"/>
      <family val="2"/>
    </font>
    <font>
      <u val="singleAccounting"/>
      <sz val="10"/>
      <name val="Arial"/>
      <family val="2"/>
    </font>
    <font>
      <u/>
      <sz val="10"/>
      <name val="Arial"/>
      <family val="2"/>
    </font>
    <font>
      <sz val="10"/>
      <color indexed="8"/>
      <name val="Arial"/>
      <family val="2"/>
    </font>
    <font>
      <sz val="12"/>
      <name val="Times New Roman"/>
      <family val="1"/>
    </font>
    <font>
      <b/>
      <sz val="12"/>
      <name val="Arial"/>
      <family val="2"/>
    </font>
    <font>
      <sz val="11"/>
      <color theme="1"/>
      <name val="Calibri"/>
      <family val="2"/>
      <scheme val="minor"/>
    </font>
    <font>
      <sz val="10"/>
      <color theme="1"/>
      <name val="Arial"/>
      <family val="2"/>
    </font>
    <font>
      <b/>
      <sz val="10"/>
      <color theme="1"/>
      <name val="Arial"/>
      <family val="2"/>
    </font>
    <font>
      <sz val="10"/>
      <name val="Arial"/>
      <family val="2"/>
    </font>
    <font>
      <sz val="9"/>
      <name val="Arial"/>
      <family val="2"/>
    </font>
    <font>
      <b/>
      <sz val="9"/>
      <name val="Arial"/>
      <family val="2"/>
    </font>
    <font>
      <sz val="10"/>
      <color rgb="FFFF0000"/>
      <name val="Arial"/>
      <family val="2"/>
    </font>
    <font>
      <sz val="10"/>
      <color rgb="FFFFFF00"/>
      <name val="Arial"/>
      <family val="2"/>
    </font>
    <font>
      <sz val="10"/>
      <color rgb="FF66FF66"/>
      <name val="Arial"/>
      <family val="2"/>
    </font>
    <font>
      <sz val="10"/>
      <color rgb="FF0000FF"/>
      <name val="Arial"/>
      <family val="2"/>
    </font>
    <font>
      <sz val="10"/>
      <color rgb="FFED0000"/>
      <name val="Arial"/>
      <family val="2"/>
    </font>
    <font>
      <sz val="8"/>
      <name val="Arial"/>
      <family val="2"/>
    </font>
    <font>
      <sz val="8"/>
      <name val="Arial"/>
    </font>
  </fonts>
  <fills count="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0" fontId="11" fillId="0" borderId="0"/>
    <xf numFmtId="0" fontId="2" fillId="0" borderId="0"/>
    <xf numFmtId="0" fontId="9" fillId="0" borderId="0"/>
    <xf numFmtId="44" fontId="14" fillId="0" borderId="0" applyFont="0" applyFill="0" applyBorder="0" applyAlignment="0" applyProtection="0"/>
  </cellStyleXfs>
  <cellXfs count="197">
    <xf numFmtId="0" fontId="0" fillId="0" borderId="0" xfId="0"/>
    <xf numFmtId="44" fontId="0" fillId="0" borderId="0" xfId="0" applyNumberFormat="1"/>
    <xf numFmtId="0" fontId="0" fillId="0" borderId="1" xfId="0" applyBorder="1"/>
    <xf numFmtId="0" fontId="0" fillId="0" borderId="2" xfId="0" applyBorder="1"/>
    <xf numFmtId="2" fontId="0" fillId="0" borderId="0" xfId="0" applyNumberFormat="1"/>
    <xf numFmtId="0" fontId="2" fillId="0" borderId="0" xfId="0" applyFont="1"/>
    <xf numFmtId="0" fontId="2" fillId="0" borderId="0" xfId="0" applyFont="1" applyAlignment="1">
      <alignment horizontal="center" vertical="center"/>
    </xf>
    <xf numFmtId="166" fontId="2" fillId="0" borderId="0" xfId="0" applyNumberFormat="1" applyFont="1" applyAlignment="1">
      <alignment horizontal="center" vertical="center"/>
    </xf>
    <xf numFmtId="166" fontId="1" fillId="0" borderId="3"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44" fontId="6" fillId="0" borderId="0" xfId="0" applyNumberFormat="1" applyFont="1" applyAlignment="1">
      <alignment horizontal="left"/>
    </xf>
    <xf numFmtId="0" fontId="2" fillId="0" borderId="0" xfId="0" applyFont="1" applyAlignment="1">
      <alignment horizontal="right"/>
    </xf>
    <xf numFmtId="1" fontId="2" fillId="0" borderId="0" xfId="0" applyNumberFormat="1" applyFont="1" applyAlignment="1">
      <alignment horizontal="center" vertical="center"/>
    </xf>
    <xf numFmtId="44" fontId="2" fillId="0" borderId="0" xfId="0" applyNumberFormat="1" applyFont="1" applyAlignment="1">
      <alignment horizontal="left"/>
    </xf>
    <xf numFmtId="166" fontId="1"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164" fontId="7" fillId="0" borderId="0" xfId="0" applyNumberFormat="1" applyFont="1" applyAlignment="1">
      <alignment horizontal="center" vertical="center"/>
    </xf>
    <xf numFmtId="164" fontId="7" fillId="0" borderId="0" xfId="0" applyNumberFormat="1" applyFont="1" applyAlignment="1">
      <alignment horizontal="left" vertical="center"/>
    </xf>
    <xf numFmtId="0" fontId="2" fillId="0" borderId="0" xfId="0" applyFont="1" applyAlignment="1">
      <alignment horizontal="left" vertical="center"/>
    </xf>
    <xf numFmtId="169" fontId="2" fillId="0" borderId="0" xfId="0" applyNumberFormat="1" applyFont="1" applyAlignment="1">
      <alignment horizontal="left" vertical="center"/>
    </xf>
    <xf numFmtId="3" fontId="0" fillId="0" borderId="0" xfId="0" applyNumberFormat="1" applyAlignment="1">
      <alignment horizontal="center" vertical="center"/>
    </xf>
    <xf numFmtId="0" fontId="2" fillId="0" borderId="0" xfId="0" applyFont="1" applyAlignment="1">
      <alignment horizontal="right" vertical="top"/>
    </xf>
    <xf numFmtId="44" fontId="6" fillId="0" borderId="4" xfId="0" applyNumberFormat="1" applyFont="1" applyBorder="1" applyAlignment="1">
      <alignment horizontal="left"/>
    </xf>
    <xf numFmtId="166" fontId="2" fillId="0" borderId="4" xfId="0" applyNumberFormat="1" applyFont="1" applyBorder="1" applyAlignment="1">
      <alignment horizontal="center" vertical="center"/>
    </xf>
    <xf numFmtId="3" fontId="2" fillId="0" borderId="0" xfId="0" applyNumberFormat="1" applyFont="1" applyAlignment="1">
      <alignment horizontal="center" vertical="center"/>
    </xf>
    <xf numFmtId="3" fontId="12" fillId="0" borderId="0" xfId="0" applyNumberFormat="1" applyFont="1" applyAlignment="1">
      <alignment horizontal="center" vertical="center"/>
    </xf>
    <xf numFmtId="44" fontId="2" fillId="0" borderId="4" xfId="0" applyNumberFormat="1" applyFont="1" applyBorder="1" applyAlignment="1">
      <alignment horizontal="left"/>
    </xf>
    <xf numFmtId="44" fontId="1" fillId="0" borderId="0" xfId="0" applyNumberFormat="1" applyFont="1" applyAlignment="1">
      <alignment horizontal="right" vertical="center"/>
    </xf>
    <xf numFmtId="3" fontId="0" fillId="0" borderId="0" xfId="0" applyNumberFormat="1"/>
    <xf numFmtId="0" fontId="2"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xf>
    <xf numFmtId="0" fontId="2" fillId="0" borderId="0" xfId="0" applyFont="1" applyAlignment="1">
      <alignment horizontal="center"/>
    </xf>
    <xf numFmtId="1" fontId="2" fillId="0" borderId="0" xfId="0" applyNumberFormat="1" applyFont="1" applyAlignment="1">
      <alignment vertical="center" wrapText="1"/>
    </xf>
    <xf numFmtId="44" fontId="1" fillId="0" borderId="0" xfId="0" applyNumberFormat="1" applyFont="1" applyAlignment="1">
      <alignment horizontal="right"/>
    </xf>
    <xf numFmtId="0" fontId="1" fillId="0" borderId="0" xfId="0" applyFont="1" applyAlignment="1">
      <alignment horizontal="right" vertical="top"/>
    </xf>
    <xf numFmtId="166" fontId="2" fillId="0" borderId="0" xfId="0" applyNumberFormat="1" applyFont="1" applyAlignment="1">
      <alignment horizontal="left" vertical="center" wrapText="1"/>
    </xf>
    <xf numFmtId="166" fontId="1" fillId="0" borderId="0" xfId="0" applyNumberFormat="1" applyFont="1" applyAlignment="1">
      <alignment horizontal="right" vertical="center"/>
    </xf>
    <xf numFmtId="1" fontId="2" fillId="0" borderId="4" xfId="0" applyNumberFormat="1" applyFont="1" applyBorder="1" applyAlignment="1">
      <alignment vertical="center" wrapText="1"/>
    </xf>
    <xf numFmtId="3" fontId="12" fillId="0" borderId="4" xfId="0" applyNumberFormat="1" applyFont="1" applyBorder="1" applyAlignment="1">
      <alignment horizontal="center" vertical="center"/>
    </xf>
    <xf numFmtId="167" fontId="1" fillId="0" borderId="0" xfId="0" applyNumberFormat="1" applyFont="1" applyAlignment="1">
      <alignment horizontal="center" vertical="center"/>
    </xf>
    <xf numFmtId="165" fontId="1" fillId="0" borderId="3" xfId="0" applyNumberFormat="1" applyFont="1" applyBorder="1" applyAlignment="1">
      <alignment horizontal="center" vertical="center"/>
    </xf>
    <xf numFmtId="166" fontId="1" fillId="0" borderId="0" xfId="0" applyNumberFormat="1" applyFont="1" applyAlignment="1">
      <alignment horizontal="center" vertical="center"/>
    </xf>
    <xf numFmtId="166" fontId="1" fillId="0" borderId="0" xfId="0" applyNumberFormat="1" applyFont="1" applyAlignment="1">
      <alignment horizontal="left" vertical="center"/>
    </xf>
    <xf numFmtId="2" fontId="1" fillId="0" borderId="0" xfId="0" applyNumberFormat="1" applyFont="1" applyAlignment="1">
      <alignment horizontal="center" vertical="center"/>
    </xf>
    <xf numFmtId="168" fontId="1" fillId="0" borderId="0" xfId="0" applyNumberFormat="1" applyFont="1" applyAlignment="1">
      <alignment horizontal="right"/>
    </xf>
    <xf numFmtId="2" fontId="2" fillId="0" borderId="0" xfId="0" applyNumberFormat="1" applyFont="1"/>
    <xf numFmtId="0" fontId="5" fillId="0" borderId="0" xfId="0" applyFont="1" applyAlignment="1">
      <alignment vertical="center" wrapText="1"/>
    </xf>
    <xf numFmtId="0" fontId="5" fillId="0" borderId="0" xfId="0" applyFont="1" applyAlignment="1">
      <alignment vertical="top" wrapText="1"/>
    </xf>
    <xf numFmtId="0" fontId="8" fillId="0" borderId="4" xfId="0" applyFont="1" applyBorder="1" applyAlignment="1">
      <alignment vertical="center"/>
    </xf>
    <xf numFmtId="0" fontId="0" fillId="0" borderId="0" xfId="0" applyAlignment="1">
      <alignment horizontal="center"/>
    </xf>
    <xf numFmtId="0" fontId="0" fillId="0" borderId="4" xfId="0" applyBorder="1" applyAlignment="1">
      <alignment horizontal="center"/>
    </xf>
    <xf numFmtId="166" fontId="1" fillId="0" borderId="0" xfId="0" applyNumberFormat="1" applyFont="1" applyAlignment="1">
      <alignment horizontal="center"/>
    </xf>
    <xf numFmtId="1" fontId="2" fillId="0" borderId="0" xfId="0" applyNumberFormat="1" applyFont="1" applyAlignment="1">
      <alignment horizontal="left" vertical="center"/>
    </xf>
    <xf numFmtId="167" fontId="3" fillId="0" borderId="0" xfId="0" applyNumberFormat="1" applyFont="1" applyAlignment="1">
      <alignment horizontal="center" vertical="center"/>
    </xf>
    <xf numFmtId="166" fontId="2" fillId="0" borderId="0" xfId="0" applyNumberFormat="1" applyFont="1" applyAlignment="1">
      <alignment horizontal="left" vertical="center"/>
    </xf>
    <xf numFmtId="0" fontId="5" fillId="0" borderId="0" xfId="0" applyFont="1" applyAlignment="1">
      <alignment wrapText="1"/>
    </xf>
    <xf numFmtId="165" fontId="1" fillId="0" borderId="0" xfId="0" applyNumberFormat="1" applyFont="1" applyAlignment="1">
      <alignment horizontal="center" vertical="center"/>
    </xf>
    <xf numFmtId="0" fontId="1" fillId="0" borderId="0" xfId="0" applyFont="1" applyAlignment="1">
      <alignment horizontal="center" vertical="center"/>
    </xf>
    <xf numFmtId="0" fontId="0" fillId="0" borderId="0" xfId="0" applyAlignment="1">
      <alignment horizontal="left"/>
    </xf>
    <xf numFmtId="0" fontId="0" fillId="0" borderId="8" xfId="0" applyBorder="1" applyAlignment="1">
      <alignment horizontal="center"/>
    </xf>
    <xf numFmtId="49" fontId="0" fillId="0" borderId="0" xfId="0" applyNumberFormat="1" applyAlignment="1">
      <alignment horizontal="center"/>
    </xf>
    <xf numFmtId="0" fontId="0" fillId="0" borderId="11" xfId="0" applyBorder="1"/>
    <xf numFmtId="0" fontId="0" fillId="0" borderId="14" xfId="0" applyBorder="1"/>
    <xf numFmtId="164" fontId="1" fillId="0" borderId="15" xfId="0" applyNumberFormat="1" applyFont="1" applyBorder="1" applyAlignment="1">
      <alignment horizontal="center" vertical="center"/>
    </xf>
    <xf numFmtId="0" fontId="1" fillId="0" borderId="16" xfId="0" applyFont="1" applyBorder="1" applyAlignment="1">
      <alignment horizontal="center" vertical="center"/>
    </xf>
    <xf numFmtId="44" fontId="6" fillId="0" borderId="10" xfId="0" applyNumberFormat="1" applyFont="1" applyBorder="1" applyAlignment="1">
      <alignment horizontal="left"/>
    </xf>
    <xf numFmtId="0" fontId="2" fillId="0" borderId="9" xfId="0" applyFont="1" applyBorder="1" applyAlignment="1">
      <alignment horizontal="center" vertical="center"/>
    </xf>
    <xf numFmtId="166" fontId="2" fillId="0" borderId="9" xfId="0" applyNumberFormat="1" applyFont="1" applyBorder="1" applyAlignment="1">
      <alignment horizontal="center" vertical="center"/>
    </xf>
    <xf numFmtId="0" fontId="2" fillId="0" borderId="0" xfId="0" applyFont="1" applyAlignment="1">
      <alignment horizontal="left" vertical="top" wrapText="1"/>
    </xf>
    <xf numFmtId="0" fontId="0" fillId="2" borderId="0" xfId="0" applyFill="1"/>
    <xf numFmtId="44" fontId="6" fillId="0" borderId="5" xfId="0" applyNumberFormat="1" applyFont="1" applyBorder="1" applyAlignment="1">
      <alignment horizontal="left"/>
    </xf>
    <xf numFmtId="44" fontId="6" fillId="0" borderId="7" xfId="0" applyNumberFormat="1" applyFont="1" applyBorder="1" applyAlignment="1">
      <alignment horizontal="left"/>
    </xf>
    <xf numFmtId="0" fontId="13" fillId="0" borderId="9" xfId="0" applyFont="1" applyBorder="1" applyAlignment="1">
      <alignment horizontal="left"/>
    </xf>
    <xf numFmtId="14" fontId="0" fillId="0" borderId="0" xfId="0" applyNumberFormat="1" applyAlignment="1">
      <alignment horizontal="right"/>
    </xf>
    <xf numFmtId="0" fontId="8" fillId="0" borderId="9" xfId="0" applyFont="1" applyBorder="1" applyAlignment="1">
      <alignment horizontal="center" vertical="center"/>
    </xf>
    <xf numFmtId="0" fontId="2" fillId="0" borderId="0" xfId="0" applyFont="1" applyAlignment="1">
      <alignment horizontal="left" vertical="top"/>
    </xf>
    <xf numFmtId="44" fontId="6" fillId="0" borderId="0" xfId="4" applyFont="1" applyBorder="1" applyAlignment="1">
      <alignment horizontal="left"/>
    </xf>
    <xf numFmtId="168" fontId="1" fillId="0" borderId="5" xfId="0" applyNumberFormat="1" applyFont="1" applyBorder="1" applyAlignment="1">
      <alignment horizontal="right"/>
    </xf>
    <xf numFmtId="166" fontId="2" fillId="0" borderId="5" xfId="0" applyNumberFormat="1" applyFont="1" applyBorder="1" applyAlignment="1">
      <alignment vertical="center" wrapText="1"/>
    </xf>
    <xf numFmtId="166" fontId="2" fillId="0" borderId="5" xfId="0" applyNumberFormat="1" applyFont="1" applyBorder="1" applyAlignment="1">
      <alignment horizontal="center" vertical="center"/>
    </xf>
    <xf numFmtId="0" fontId="13" fillId="0" borderId="6" xfId="0" applyFont="1" applyBorder="1" applyAlignment="1">
      <alignment horizontal="left"/>
    </xf>
    <xf numFmtId="170" fontId="2" fillId="0" borderId="5" xfId="0" applyNumberFormat="1" applyFont="1" applyBorder="1" applyAlignment="1">
      <alignment horizontal="center" vertical="center"/>
    </xf>
    <xf numFmtId="0" fontId="0" fillId="0" borderId="4" xfId="0" applyBorder="1"/>
    <xf numFmtId="0" fontId="0" fillId="0" borderId="3" xfId="0" applyBorder="1"/>
    <xf numFmtId="166" fontId="2" fillId="0" borderId="0" xfId="0" applyNumberFormat="1" applyFont="1" applyAlignment="1">
      <alignment vertical="center" wrapText="1"/>
    </xf>
    <xf numFmtId="170" fontId="2" fillId="0" borderId="0" xfId="0" applyNumberFormat="1" applyFont="1" applyAlignment="1">
      <alignment horizontal="center" vertical="center"/>
    </xf>
    <xf numFmtId="166" fontId="1" fillId="0" borderId="16" xfId="0" applyNumberFormat="1"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horizontal="center" vertical="center"/>
    </xf>
    <xf numFmtId="166" fontId="2" fillId="0" borderId="0" xfId="0" applyNumberFormat="1" applyFont="1" applyAlignment="1">
      <alignment vertical="center"/>
    </xf>
    <xf numFmtId="0" fontId="12" fillId="0" borderId="0" xfId="0" applyFont="1" applyAlignment="1">
      <alignment vertical="center"/>
    </xf>
    <xf numFmtId="0" fontId="12" fillId="0" borderId="4" xfId="0" applyFont="1" applyBorder="1" applyAlignment="1">
      <alignment vertical="center"/>
    </xf>
    <xf numFmtId="0" fontId="12" fillId="0" borderId="4" xfId="0" applyFont="1" applyBorder="1" applyAlignment="1">
      <alignment horizontal="center" vertical="center"/>
    </xf>
    <xf numFmtId="0" fontId="4" fillId="0" borderId="0" xfId="0" applyFont="1"/>
    <xf numFmtId="0" fontId="4" fillId="0" borderId="4" xfId="0" applyFont="1" applyBorder="1"/>
    <xf numFmtId="0" fontId="4" fillId="0" borderId="3" xfId="0" applyFont="1" applyBorder="1"/>
    <xf numFmtId="1" fontId="2" fillId="0" borderId="0" xfId="0" applyNumberFormat="1" applyFont="1" applyAlignment="1">
      <alignment vertical="center"/>
    </xf>
    <xf numFmtId="0" fontId="0" fillId="0" borderId="0" xfId="0" applyAlignment="1">
      <alignment vertical="center"/>
    </xf>
    <xf numFmtId="0" fontId="2" fillId="0" borderId="0" xfId="0" applyFont="1" applyAlignment="1">
      <alignment vertical="center"/>
    </xf>
    <xf numFmtId="3" fontId="0" fillId="0" borderId="4" xfId="0" applyNumberFormat="1" applyBorder="1" applyAlignment="1">
      <alignment horizontal="center" vertical="center"/>
    </xf>
    <xf numFmtId="165" fontId="2" fillId="0" borderId="0" xfId="0" applyNumberFormat="1" applyFont="1" applyAlignment="1">
      <alignment horizontal="left" vertical="center"/>
    </xf>
    <xf numFmtId="166" fontId="2" fillId="0" borderId="0" xfId="0" applyNumberFormat="1" applyFont="1" applyAlignment="1">
      <alignment horizontal="center" vertical="center" wrapText="1"/>
    </xf>
    <xf numFmtId="165" fontId="2" fillId="0" borderId="4" xfId="0" applyNumberFormat="1" applyFont="1" applyBorder="1" applyAlignment="1">
      <alignment horizontal="left" vertical="center"/>
    </xf>
    <xf numFmtId="166" fontId="2" fillId="0" borderId="4" xfId="0" applyNumberFormat="1" applyFont="1" applyBorder="1" applyAlignment="1">
      <alignment horizontal="center" vertical="center" wrapText="1"/>
    </xf>
    <xf numFmtId="167" fontId="10" fillId="0" borderId="4" xfId="0" applyNumberFormat="1" applyFont="1" applyBorder="1" applyAlignment="1">
      <alignment vertical="center"/>
    </xf>
    <xf numFmtId="167" fontId="10" fillId="0" borderId="0" xfId="0" applyNumberFormat="1" applyFont="1" applyAlignment="1">
      <alignment vertical="center"/>
    </xf>
    <xf numFmtId="166" fontId="2" fillId="3" borderId="0" xfId="0" applyNumberFormat="1" applyFont="1" applyFill="1" applyAlignment="1">
      <alignment vertical="top" wrapText="1"/>
    </xf>
    <xf numFmtId="1" fontId="2" fillId="0" borderId="4" xfId="0" applyNumberFormat="1" applyFont="1" applyBorder="1" applyAlignment="1">
      <alignment horizontal="center" vertical="center"/>
    </xf>
    <xf numFmtId="44" fontId="6" fillId="0" borderId="13" xfId="0" applyNumberFormat="1" applyFont="1" applyBorder="1" applyAlignment="1">
      <alignment horizontal="left"/>
    </xf>
    <xf numFmtId="0" fontId="1" fillId="0" borderId="0" xfId="0" applyFont="1" applyAlignment="1">
      <alignment horizontal="center"/>
    </xf>
    <xf numFmtId="0" fontId="2" fillId="0" borderId="0" xfId="2"/>
    <xf numFmtId="2" fontId="2" fillId="0" borderId="0" xfId="2" applyNumberFormat="1"/>
    <xf numFmtId="0" fontId="2" fillId="0" borderId="2" xfId="2" applyBorder="1"/>
    <xf numFmtId="0" fontId="1" fillId="0" borderId="0" xfId="2" applyFont="1" applyAlignment="1">
      <alignment horizontal="right"/>
    </xf>
    <xf numFmtId="44" fontId="2" fillId="0" borderId="0" xfId="2" applyNumberFormat="1"/>
    <xf numFmtId="0" fontId="2" fillId="0" borderId="1" xfId="2" applyBorder="1"/>
    <xf numFmtId="0" fontId="1" fillId="0" borderId="0" xfId="2" applyFont="1" applyAlignment="1">
      <alignment horizontal="right" vertical="top"/>
    </xf>
    <xf numFmtId="0" fontId="2" fillId="0" borderId="0" xfId="2" applyAlignment="1">
      <alignment horizontal="right" vertical="top"/>
    </xf>
    <xf numFmtId="44" fontId="2" fillId="0" borderId="0" xfId="2" applyNumberFormat="1" applyAlignment="1">
      <alignment horizontal="left"/>
    </xf>
    <xf numFmtId="44" fontId="1" fillId="0" borderId="0" xfId="2" applyNumberFormat="1" applyFont="1" applyAlignment="1">
      <alignment horizontal="right"/>
    </xf>
    <xf numFmtId="166" fontId="2" fillId="0" borderId="0" xfId="2" applyNumberFormat="1" applyAlignment="1">
      <alignment horizontal="center" vertical="center"/>
    </xf>
    <xf numFmtId="166" fontId="2" fillId="0" borderId="0" xfId="2" applyNumberFormat="1" applyAlignment="1">
      <alignment horizontal="left" vertical="center"/>
    </xf>
    <xf numFmtId="1" fontId="2" fillId="0" borderId="0" xfId="2" applyNumberFormat="1" applyAlignment="1">
      <alignment horizontal="center" vertical="center"/>
    </xf>
    <xf numFmtId="0" fontId="2" fillId="0" borderId="0" xfId="2" applyAlignment="1">
      <alignment horizontal="center" vertical="center"/>
    </xf>
    <xf numFmtId="44" fontId="6" fillId="0" borderId="0" xfId="2" applyNumberFormat="1" applyFont="1" applyAlignment="1">
      <alignment horizontal="left"/>
    </xf>
    <xf numFmtId="44" fontId="6" fillId="0" borderId="13" xfId="2" applyNumberFormat="1" applyFont="1" applyBorder="1" applyAlignment="1">
      <alignment horizontal="left"/>
    </xf>
    <xf numFmtId="44" fontId="6" fillId="0" borderId="4" xfId="2" applyNumberFormat="1" applyFont="1" applyBorder="1" applyAlignment="1">
      <alignment horizontal="left"/>
    </xf>
    <xf numFmtId="3" fontId="2" fillId="0" borderId="4" xfId="2" applyNumberFormat="1" applyBorder="1" applyAlignment="1">
      <alignment horizontal="center" vertical="center"/>
    </xf>
    <xf numFmtId="166" fontId="2" fillId="0" borderId="4" xfId="2" applyNumberFormat="1" applyBorder="1" applyAlignment="1">
      <alignment horizontal="center" vertical="center"/>
    </xf>
    <xf numFmtId="166" fontId="2" fillId="0" borderId="4" xfId="2" applyNumberFormat="1" applyBorder="1" applyAlignment="1">
      <alignment horizontal="left" vertical="center"/>
    </xf>
    <xf numFmtId="0" fontId="2" fillId="0" borderId="12" xfId="2" applyBorder="1" applyAlignment="1">
      <alignment horizontal="center" vertical="center"/>
    </xf>
    <xf numFmtId="44" fontId="6" fillId="0" borderId="10" xfId="2" applyNumberFormat="1" applyFont="1" applyBorder="1" applyAlignment="1">
      <alignment horizontal="left"/>
    </xf>
    <xf numFmtId="3" fontId="2" fillId="0" borderId="0" xfId="2" applyNumberFormat="1" applyAlignment="1">
      <alignment horizontal="center" vertical="center"/>
    </xf>
    <xf numFmtId="0" fontId="2" fillId="0" borderId="9" xfId="2" applyBorder="1" applyAlignment="1">
      <alignment horizontal="center" vertical="center"/>
    </xf>
    <xf numFmtId="0" fontId="1" fillId="0" borderId="16" xfId="2" applyFont="1" applyBorder="1" applyAlignment="1">
      <alignment horizontal="center" vertical="center"/>
    </xf>
    <xf numFmtId="166" fontId="1" fillId="0" borderId="3" xfId="2" applyNumberFormat="1" applyFont="1" applyBorder="1" applyAlignment="1">
      <alignment horizontal="center" vertical="center" wrapText="1"/>
    </xf>
    <xf numFmtId="2" fontId="1" fillId="0" borderId="3" xfId="2" applyNumberFormat="1" applyFont="1" applyBorder="1" applyAlignment="1">
      <alignment horizontal="center" vertical="center" wrapText="1"/>
    </xf>
    <xf numFmtId="165" fontId="1" fillId="0" borderId="3" xfId="2" applyNumberFormat="1" applyFont="1" applyBorder="1" applyAlignment="1">
      <alignment horizontal="center" vertical="center"/>
    </xf>
    <xf numFmtId="164" fontId="1" fillId="0" borderId="15" xfId="2" applyNumberFormat="1" applyFont="1" applyBorder="1" applyAlignment="1">
      <alignment horizontal="center" vertical="center"/>
    </xf>
    <xf numFmtId="167" fontId="3" fillId="0" borderId="0" xfId="2" applyNumberFormat="1" applyFont="1" applyAlignment="1">
      <alignment horizontal="center" vertical="center"/>
    </xf>
    <xf numFmtId="0" fontId="5" fillId="0" borderId="0" xfId="2" applyFont="1" applyAlignment="1">
      <alignment vertical="top" wrapText="1"/>
    </xf>
    <xf numFmtId="0" fontId="8" fillId="0" borderId="12" xfId="0" applyFont="1" applyBorder="1" applyAlignment="1">
      <alignment horizontal="center" vertical="center"/>
    </xf>
    <xf numFmtId="171" fontId="2" fillId="0" borderId="0" xfId="0" applyNumberFormat="1" applyFont="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165" fontId="1" fillId="0" borderId="15" xfId="0" applyNumberFormat="1" applyFont="1" applyBorder="1" applyAlignment="1">
      <alignment horizontal="center" vertical="center"/>
    </xf>
    <xf numFmtId="166" fontId="2" fillId="0" borderId="12" xfId="0" applyNumberFormat="1" applyFont="1" applyBorder="1" applyAlignment="1">
      <alignment horizontal="center" vertical="center"/>
    </xf>
    <xf numFmtId="172" fontId="2" fillId="0" borderId="0" xfId="0" applyNumberFormat="1" applyFont="1"/>
    <xf numFmtId="0" fontId="17" fillId="0" borderId="0" xfId="0" applyFont="1"/>
    <xf numFmtId="0" fontId="19" fillId="0" borderId="0" xfId="0" applyFont="1"/>
    <xf numFmtId="0" fontId="20" fillId="0" borderId="0" xfId="0" applyFont="1"/>
    <xf numFmtId="4" fontId="0" fillId="0" borderId="4" xfId="0" applyNumberFormat="1" applyBorder="1" applyAlignment="1">
      <alignment horizontal="center" vertical="center"/>
    </xf>
    <xf numFmtId="0" fontId="18" fillId="0" borderId="0" xfId="0" applyFont="1"/>
    <xf numFmtId="0" fontId="21" fillId="0" borderId="0" xfId="0" applyFont="1"/>
    <xf numFmtId="1" fontId="2" fillId="0" borderId="0" xfId="0" applyNumberFormat="1" applyFont="1"/>
    <xf numFmtId="169" fontId="2" fillId="0" borderId="0" xfId="0" applyNumberFormat="1" applyFont="1" applyAlignment="1">
      <alignment horizontal="center" vertical="center"/>
    </xf>
    <xf numFmtId="4" fontId="12" fillId="0" borderId="0" xfId="0" applyNumberFormat="1" applyFont="1" applyAlignment="1">
      <alignment horizontal="center" vertical="center"/>
    </xf>
    <xf numFmtId="166" fontId="2" fillId="0" borderId="4" xfId="0" applyNumberFormat="1" applyFont="1" applyBorder="1" applyAlignment="1">
      <alignment vertical="center"/>
    </xf>
    <xf numFmtId="0" fontId="0" fillId="0" borderId="17" xfId="0" applyBorder="1"/>
    <xf numFmtId="0" fontId="2" fillId="0" borderId="8" xfId="0" applyFont="1" applyBorder="1"/>
    <xf numFmtId="0" fontId="2" fillId="0" borderId="11" xfId="0" applyFont="1" applyBorder="1"/>
    <xf numFmtId="0" fontId="2" fillId="0" borderId="11" xfId="0" applyFont="1" applyBorder="1" applyAlignment="1">
      <alignment horizontal="right"/>
    </xf>
    <xf numFmtId="0" fontId="0" fillId="0" borderId="11" xfId="0" applyBorder="1" applyAlignment="1">
      <alignment horizontal="center"/>
    </xf>
    <xf numFmtId="0" fontId="2" fillId="4" borderId="0" xfId="0" applyFont="1" applyFill="1" applyAlignment="1">
      <alignment horizontal="center"/>
    </xf>
    <xf numFmtId="0" fontId="2" fillId="0" borderId="20" xfId="0" applyFont="1" applyBorder="1" applyAlignment="1">
      <alignment horizontal="center"/>
    </xf>
    <xf numFmtId="0" fontId="2" fillId="0" borderId="19" xfId="0" applyFont="1" applyBorder="1" applyAlignment="1">
      <alignment horizontal="center"/>
    </xf>
    <xf numFmtId="0" fontId="0" fillId="0" borderId="2" xfId="0" applyBorder="1" applyAlignment="1">
      <alignment horizontal="center"/>
    </xf>
    <xf numFmtId="0" fontId="0" fillId="0" borderId="18" xfId="0" applyBorder="1" applyAlignment="1">
      <alignment horizontal="center"/>
    </xf>
    <xf numFmtId="0" fontId="0" fillId="0" borderId="21" xfId="0" applyBorder="1" applyAlignment="1">
      <alignment horizontal="center"/>
    </xf>
    <xf numFmtId="0" fontId="0" fillId="0" borderId="21" xfId="0" applyBorder="1"/>
    <xf numFmtId="0" fontId="0" fillId="0" borderId="21" xfId="0" applyBorder="1" applyAlignment="1">
      <alignment vertical="center"/>
    </xf>
    <xf numFmtId="0" fontId="0" fillId="0" borderId="21" xfId="0" applyBorder="1" applyAlignment="1">
      <alignment horizontal="center" vertical="center"/>
    </xf>
    <xf numFmtId="44" fontId="2" fillId="0" borderId="5" xfId="0" applyNumberFormat="1" applyFont="1" applyBorder="1" applyAlignment="1">
      <alignment horizontal="left"/>
    </xf>
    <xf numFmtId="0" fontId="1" fillId="0" borderId="4" xfId="0" applyFont="1" applyBorder="1" applyAlignment="1">
      <alignment horizontal="right"/>
    </xf>
    <xf numFmtId="0" fontId="2" fillId="0" borderId="9" xfId="0" applyFont="1" applyBorder="1" applyAlignment="1">
      <alignment horizontal="right" vertical="top"/>
    </xf>
    <xf numFmtId="0" fontId="0" fillId="0" borderId="9" xfId="0" applyBorder="1"/>
    <xf numFmtId="0" fontId="0" fillId="0" borderId="12" xfId="0" applyBorder="1"/>
    <xf numFmtId="0" fontId="0" fillId="0" borderId="22" xfId="0" applyBorder="1"/>
    <xf numFmtId="0" fontId="0" fillId="0" borderId="23" xfId="0" applyBorder="1"/>
    <xf numFmtId="0" fontId="15" fillId="0" borderId="0" xfId="0" applyFont="1" applyAlignment="1">
      <alignment horizontal="left" vertical="top" wrapText="1"/>
    </xf>
    <xf numFmtId="1" fontId="1" fillId="0" borderId="0" xfId="0" applyNumberFormat="1" applyFont="1" applyAlignment="1">
      <alignment horizontal="left" vertical="top" wrapText="1"/>
    </xf>
    <xf numFmtId="0" fontId="15" fillId="0" borderId="0" xfId="0" applyFont="1" applyAlignment="1">
      <alignment vertical="top" wrapText="1"/>
    </xf>
    <xf numFmtId="0" fontId="5" fillId="0" borderId="0" xfId="0" applyFont="1" applyAlignment="1">
      <alignment horizontal="center" vertical="center" wrapText="1"/>
    </xf>
    <xf numFmtId="167" fontId="3" fillId="0" borderId="0" xfId="0" applyNumberFormat="1" applyFont="1" applyAlignment="1">
      <alignment horizontal="center" vertical="center"/>
    </xf>
    <xf numFmtId="0" fontId="2" fillId="0" borderId="0" xfId="2" applyAlignment="1">
      <alignment horizontal="left" vertical="top" wrapText="1"/>
    </xf>
    <xf numFmtId="0" fontId="10" fillId="0" borderId="0" xfId="2" applyFont="1" applyAlignment="1">
      <alignment horizontal="center" vertical="top" wrapText="1"/>
    </xf>
    <xf numFmtId="167" fontId="10" fillId="0" borderId="4" xfId="2" applyNumberFormat="1" applyFont="1" applyBorder="1" applyAlignment="1">
      <alignment horizontal="left" vertical="center"/>
    </xf>
    <xf numFmtId="0" fontId="1" fillId="0" borderId="0" xfId="2" applyFont="1" applyAlignment="1">
      <alignment horizontal="left" vertical="top" wrapText="1"/>
    </xf>
    <xf numFmtId="167" fontId="10" fillId="0" borderId="0" xfId="0" applyNumberFormat="1" applyFont="1" applyAlignment="1">
      <alignment horizontal="left" vertical="center"/>
    </xf>
    <xf numFmtId="0" fontId="10" fillId="0" borderId="0" xfId="0" applyFont="1" applyAlignment="1">
      <alignment horizontal="center" vertical="top" wrapText="1"/>
    </xf>
    <xf numFmtId="1" fontId="2" fillId="0" borderId="0" xfId="0" applyNumberFormat="1" applyFont="1" applyAlignment="1">
      <alignment horizontal="left" vertical="center" wrapText="1"/>
    </xf>
    <xf numFmtId="166" fontId="2" fillId="0" borderId="0" xfId="0" applyNumberFormat="1" applyFont="1" applyAlignment="1">
      <alignment horizontal="left" vertical="top" wrapText="1"/>
    </xf>
    <xf numFmtId="167" fontId="10" fillId="0" borderId="4" xfId="0" applyNumberFormat="1" applyFont="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lignment horizontal="left" vertical="top" wrapText="1"/>
    </xf>
    <xf numFmtId="1" fontId="2" fillId="0" borderId="0" xfId="0" applyNumberFormat="1" applyFont="1" applyAlignment="1">
      <alignment horizontal="left" vertical="top" wrapText="1"/>
    </xf>
  </cellXfs>
  <cellStyles count="5">
    <cellStyle name="Currency" xfId="4" builtinId="4"/>
    <cellStyle name="Normal" xfId="0" builtinId="0"/>
    <cellStyle name="Normal 2" xfId="1" xr:uid="{00000000-0005-0000-0000-000001000000}"/>
    <cellStyle name="Normal 3" xfId="2" xr:uid="{00000000-0005-0000-0000-000002000000}"/>
    <cellStyle name="Normal 6" xfId="3" xr:uid="{00000000-0005-0000-0000-000003000000}"/>
  </cellStyles>
  <dxfs count="0"/>
  <tableStyles count="0" defaultTableStyle="TableStyleMedium9" defaultPivotStyle="PivotStyleLight16"/>
  <colors>
    <mruColors>
      <color rgb="FF00FFFF"/>
      <color rgb="FFFFFF00"/>
      <color rgb="FFFF6600"/>
      <color rgb="FFFF9933"/>
      <color rgb="FF0000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Anthoni Estrada" id="{F9AF92C0-0190-4C65-95D8-5D16C5633132}" userId="S::anthonie@hmtnb.com::48035acf-12bf-429a-8527-439ecb5e7cf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9" dT="2025-03-24T22:54:32.49" personId="{F9AF92C0-0190-4C65-95D8-5D16C5633132}" id="{E183F22F-DD90-4CEE-99BB-E817E76C9BD7}">
    <text>Did rough SF near embankment area of drainage channels</text>
  </threadedComment>
  <threadedComment ref="D10" dT="2025-03-24T22:54:07.71" personId="{F9AF92C0-0190-4C65-95D8-5D16C5633132}" id="{C1D83978-38FF-40E2-8751-3B4D8911FA62}">
    <text>Did rough SF of entire drainage channels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
  <sheetViews>
    <sheetView view="pageBreakPreview" zoomScaleNormal="100" zoomScaleSheetLayoutView="100" workbookViewId="0">
      <selection activeCell="F2" sqref="F2"/>
    </sheetView>
  </sheetViews>
  <sheetFormatPr defaultRowHeight="12.75" x14ac:dyDescent="0.2"/>
  <cols>
    <col min="1" max="1" width="8.42578125" customWidth="1"/>
    <col min="2" max="2" width="18.85546875" customWidth="1"/>
    <col min="3" max="3" width="7.28515625" customWidth="1"/>
    <col min="4" max="4" width="34.85546875" customWidth="1"/>
    <col min="5" max="5" width="17.42578125" style="4" customWidth="1"/>
    <col min="6" max="6" width="12.85546875" customWidth="1"/>
    <col min="7" max="7" width="13.42578125" customWidth="1"/>
    <col min="8" max="8" width="12.28515625" bestFit="1" customWidth="1"/>
  </cols>
  <sheetData>
    <row r="1" spans="1:8" x14ac:dyDescent="0.2">
      <c r="E1"/>
      <c r="F1" s="74">
        <v>45958</v>
      </c>
    </row>
    <row r="2" spans="1:8" x14ac:dyDescent="0.2">
      <c r="E2" s="11" t="s">
        <v>0</v>
      </c>
      <c r="F2" s="148">
        <v>337.11</v>
      </c>
    </row>
    <row r="3" spans="1:8" ht="37.5" customHeight="1" x14ac:dyDescent="0.2">
      <c r="C3" s="183" t="s">
        <v>131</v>
      </c>
      <c r="D3" s="183"/>
      <c r="E3" s="183"/>
    </row>
    <row r="4" spans="1:8" ht="12.75" customHeight="1" x14ac:dyDescent="0.2">
      <c r="C4" s="47"/>
      <c r="D4" s="47"/>
      <c r="E4" s="47"/>
    </row>
    <row r="5" spans="1:8" ht="21.75" customHeight="1" thickBot="1" x14ac:dyDescent="0.25">
      <c r="B5" s="94" t="s">
        <v>60</v>
      </c>
      <c r="C5" s="95"/>
      <c r="D5" s="95"/>
      <c r="E5" s="94"/>
    </row>
    <row r="6" spans="1:8" ht="21.75" customHeight="1" thickBot="1" x14ac:dyDescent="0.25">
      <c r="B6" s="94" t="s">
        <v>61</v>
      </c>
      <c r="C6" s="96"/>
      <c r="D6" s="96"/>
      <c r="E6" s="94"/>
    </row>
    <row r="7" spans="1:8" ht="21.75" customHeight="1" thickBot="1" x14ac:dyDescent="0.25">
      <c r="B7" s="94" t="s">
        <v>62</v>
      </c>
      <c r="C7" s="94"/>
      <c r="D7" s="96"/>
      <c r="E7" s="94"/>
    </row>
    <row r="8" spans="1:8" ht="21.75" customHeight="1" thickBot="1" x14ac:dyDescent="0.25">
      <c r="B8" s="94" t="s">
        <v>63</v>
      </c>
      <c r="C8" s="95"/>
      <c r="D8" s="95"/>
      <c r="E8" s="94"/>
    </row>
    <row r="9" spans="1:8" ht="7.5" customHeight="1" x14ac:dyDescent="0.2">
      <c r="A9" s="184"/>
      <c r="B9" s="184"/>
      <c r="C9" s="184"/>
      <c r="D9" s="184"/>
      <c r="E9" s="184"/>
      <c r="F9" s="54"/>
    </row>
    <row r="10" spans="1:8" ht="22.5" customHeight="1" x14ac:dyDescent="0.2">
      <c r="A10" s="16"/>
      <c r="B10" s="17" t="s">
        <v>1</v>
      </c>
      <c r="C10" s="57"/>
      <c r="D10" s="14"/>
      <c r="E10" s="15"/>
      <c r="F10" s="14"/>
      <c r="G10" s="58"/>
    </row>
    <row r="11" spans="1:8" ht="21.75" customHeight="1" thickBot="1" x14ac:dyDescent="0.4">
      <c r="A11" s="18"/>
      <c r="B11" s="18" t="s">
        <v>64</v>
      </c>
      <c r="C11" s="55"/>
      <c r="D11" s="7"/>
      <c r="E11" s="26">
        <v>0</v>
      </c>
      <c r="F11" s="10"/>
      <c r="G11" s="10"/>
      <c r="H11" s="1"/>
    </row>
    <row r="12" spans="1:8" ht="7.5" customHeight="1" x14ac:dyDescent="0.2">
      <c r="A12" s="42"/>
      <c r="B12" s="42"/>
      <c r="C12" s="43"/>
      <c r="D12" s="42"/>
      <c r="E12" s="44"/>
      <c r="F12" s="42"/>
    </row>
    <row r="13" spans="1:8" ht="21.75" customHeight="1" thickBot="1" x14ac:dyDescent="0.4">
      <c r="A13" s="6"/>
      <c r="B13" s="97" t="s">
        <v>2</v>
      </c>
      <c r="C13" s="98"/>
      <c r="D13" s="7"/>
      <c r="E13" s="26">
        <v>0</v>
      </c>
      <c r="F13" s="10"/>
      <c r="G13" s="10"/>
      <c r="H13" s="1"/>
    </row>
    <row r="14" spans="1:8" ht="7.5" customHeight="1" x14ac:dyDescent="0.2">
      <c r="A14" s="42"/>
      <c r="B14" s="42"/>
      <c r="C14" s="43"/>
      <c r="D14" s="42"/>
      <c r="E14" s="44"/>
      <c r="F14" s="42"/>
    </row>
    <row r="15" spans="1:8" ht="21.75" customHeight="1" thickBot="1" x14ac:dyDescent="0.4">
      <c r="A15" s="6"/>
      <c r="B15" s="18" t="s">
        <v>3</v>
      </c>
      <c r="C15" s="55"/>
      <c r="D15" s="7"/>
      <c r="E15" s="26">
        <v>0</v>
      </c>
      <c r="F15" s="10"/>
      <c r="G15" s="10"/>
      <c r="H15" s="1"/>
    </row>
    <row r="16" spans="1:8" ht="7.5" customHeight="1" x14ac:dyDescent="0.2">
      <c r="A16" s="42"/>
      <c r="B16" s="42"/>
      <c r="C16" s="43"/>
      <c r="D16" s="42"/>
      <c r="E16" s="44"/>
      <c r="F16" s="42"/>
    </row>
    <row r="17" spans="1:8" ht="21.75" customHeight="1" thickBot="1" x14ac:dyDescent="0.4">
      <c r="A17" s="6"/>
      <c r="B17" s="97" t="s">
        <v>4</v>
      </c>
      <c r="C17" s="97"/>
      <c r="D17" s="52"/>
      <c r="E17" s="26">
        <v>0</v>
      </c>
      <c r="F17" s="10"/>
      <c r="G17" s="10"/>
      <c r="H17" s="1"/>
    </row>
    <row r="18" spans="1:8" ht="7.5" customHeight="1" x14ac:dyDescent="0.35">
      <c r="A18" s="6"/>
      <c r="B18" s="19"/>
      <c r="C18" s="55"/>
      <c r="D18" s="7"/>
      <c r="E18" s="13"/>
      <c r="F18" s="10"/>
      <c r="G18" s="10"/>
      <c r="H18" s="1"/>
    </row>
    <row r="19" spans="1:8" ht="21.75" customHeight="1" thickBot="1" x14ac:dyDescent="0.4">
      <c r="A19" s="6"/>
      <c r="B19" s="99" t="s">
        <v>5</v>
      </c>
      <c r="C19" s="99"/>
      <c r="D19" s="7"/>
      <c r="E19" s="26">
        <v>0</v>
      </c>
      <c r="F19" s="10"/>
      <c r="G19" s="10"/>
      <c r="H19" s="1"/>
    </row>
    <row r="20" spans="1:8" ht="7.5" customHeight="1" x14ac:dyDescent="0.35">
      <c r="A20" s="6"/>
      <c r="B20" s="53"/>
      <c r="C20" s="55"/>
      <c r="D20" s="37"/>
      <c r="E20" s="13"/>
      <c r="F20" s="10"/>
      <c r="G20" s="10"/>
      <c r="H20" s="1"/>
    </row>
    <row r="21" spans="1:8" ht="21.75" customHeight="1" thickBot="1" x14ac:dyDescent="0.4">
      <c r="A21" s="6"/>
      <c r="B21" s="53"/>
      <c r="C21" s="55"/>
      <c r="D21" s="37" t="s">
        <v>6</v>
      </c>
      <c r="E21" s="26">
        <v>0</v>
      </c>
      <c r="F21" s="10"/>
      <c r="G21" s="10"/>
      <c r="H21" s="1"/>
    </row>
    <row r="22" spans="1:8" ht="10.5" customHeight="1" x14ac:dyDescent="0.35">
      <c r="A22" s="6"/>
      <c r="B22" s="53"/>
      <c r="C22" s="55"/>
      <c r="D22" s="37"/>
      <c r="E22" s="173"/>
      <c r="F22" s="10"/>
      <c r="G22" s="10"/>
      <c r="H22" s="1"/>
    </row>
    <row r="23" spans="1:8" ht="21.75" customHeight="1" thickBot="1" x14ac:dyDescent="0.4">
      <c r="A23" s="6"/>
      <c r="B23" s="99" t="s">
        <v>223</v>
      </c>
      <c r="C23" s="99"/>
      <c r="D23" s="7"/>
      <c r="E23" s="26">
        <v>0</v>
      </c>
      <c r="F23" s="10"/>
      <c r="G23" s="10"/>
      <c r="H23" s="1"/>
    </row>
    <row r="24" spans="1:8" ht="7.5" customHeight="1" x14ac:dyDescent="0.2">
      <c r="A24" s="6"/>
      <c r="B24" s="99"/>
      <c r="C24" s="99"/>
      <c r="D24" s="7"/>
      <c r="E24" s="13"/>
    </row>
    <row r="25" spans="1:8" ht="21.75" customHeight="1" thickBot="1" x14ac:dyDescent="0.25">
      <c r="A25" s="6"/>
      <c r="B25" s="99"/>
      <c r="C25" s="99"/>
      <c r="D25" s="37" t="s">
        <v>226</v>
      </c>
      <c r="E25" s="26">
        <v>0</v>
      </c>
    </row>
    <row r="26" spans="1:8" ht="12" customHeight="1" x14ac:dyDescent="0.2">
      <c r="A26" s="6"/>
      <c r="B26" s="53"/>
      <c r="C26" s="55"/>
      <c r="D26" s="37"/>
      <c r="E26" s="13"/>
    </row>
    <row r="27" spans="1:8" ht="40.5" customHeight="1" x14ac:dyDescent="0.2">
      <c r="A27" s="31"/>
      <c r="B27" s="181" t="s">
        <v>111</v>
      </c>
      <c r="C27" s="181"/>
      <c r="D27" s="181"/>
      <c r="E27" s="181"/>
    </row>
    <row r="28" spans="1:8" ht="30" customHeight="1" x14ac:dyDescent="0.2">
      <c r="A28" s="21" t="s">
        <v>7</v>
      </c>
      <c r="B28" s="182" t="s">
        <v>112</v>
      </c>
      <c r="C28" s="182"/>
      <c r="D28" s="182"/>
      <c r="E28" s="182"/>
    </row>
    <row r="29" spans="1:8" ht="63.75" customHeight="1" x14ac:dyDescent="0.2">
      <c r="A29" s="35" t="s">
        <v>7</v>
      </c>
      <c r="B29" s="182" t="s">
        <v>8</v>
      </c>
      <c r="C29" s="182"/>
      <c r="D29" s="182"/>
      <c r="E29" s="182"/>
    </row>
    <row r="30" spans="1:8" ht="101.25" customHeight="1" x14ac:dyDescent="0.2">
      <c r="A30" s="35" t="s">
        <v>7</v>
      </c>
      <c r="B30" s="182" t="s">
        <v>9</v>
      </c>
      <c r="C30" s="182"/>
      <c r="D30" s="182"/>
      <c r="E30" s="182"/>
    </row>
    <row r="31" spans="1:8" ht="39.75" customHeight="1" x14ac:dyDescent="0.2">
      <c r="A31" s="21" t="s">
        <v>48</v>
      </c>
      <c r="B31" s="180" t="s">
        <v>49</v>
      </c>
      <c r="C31" s="180"/>
      <c r="D31" s="180"/>
      <c r="E31" s="180"/>
    </row>
    <row r="32" spans="1:8" ht="15" customHeight="1" x14ac:dyDescent="0.2">
      <c r="A32" s="21" t="s">
        <v>224</v>
      </c>
      <c r="B32" s="180" t="s">
        <v>225</v>
      </c>
      <c r="C32" s="180"/>
      <c r="D32" s="180"/>
      <c r="E32" s="180"/>
    </row>
    <row r="33" spans="5:6" ht="13.5" thickBot="1" x14ac:dyDescent="0.25">
      <c r="E33" s="31" t="s">
        <v>10</v>
      </c>
      <c r="F33" s="83"/>
    </row>
    <row r="34" spans="5:6" ht="13.5" thickBot="1" x14ac:dyDescent="0.25">
      <c r="E34" s="31" t="s">
        <v>11</v>
      </c>
      <c r="F34" s="84"/>
    </row>
  </sheetData>
  <mergeCells count="8">
    <mergeCell ref="B32:E32"/>
    <mergeCell ref="B31:E31"/>
    <mergeCell ref="B27:E27"/>
    <mergeCell ref="B30:E30"/>
    <mergeCell ref="C3:E3"/>
    <mergeCell ref="A9:E9"/>
    <mergeCell ref="B29:E29"/>
    <mergeCell ref="B28:E28"/>
  </mergeCells>
  <pageMargins left="0.56000000000000005" right="0.2" top="0.52" bottom="0.25" header="0.5" footer="0.3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DA684-7BDB-4AE3-B071-5E6BD446F77A}">
  <dimension ref="A1:G18"/>
  <sheetViews>
    <sheetView view="pageBreakPreview" zoomScaleNormal="100" zoomScaleSheetLayoutView="100" workbookViewId="0">
      <selection activeCell="A8" sqref="A8"/>
    </sheetView>
  </sheetViews>
  <sheetFormatPr defaultColWidth="8.85546875" defaultRowHeight="12.75" x14ac:dyDescent="0.2"/>
  <cols>
    <col min="1" max="1" width="6.85546875" style="111" customWidth="1"/>
    <col min="2" max="2" width="40.7109375" style="111" customWidth="1"/>
    <col min="3" max="3" width="10.85546875" style="111" customWidth="1"/>
    <col min="4" max="4" width="13.5703125" style="111" customWidth="1"/>
    <col min="5" max="5" width="13.5703125" style="112" customWidth="1"/>
    <col min="6" max="6" width="14.28515625" style="111" customWidth="1"/>
    <col min="7" max="7" width="12.28515625" style="111" bestFit="1" customWidth="1"/>
    <col min="8" max="16384" width="8.85546875" style="111"/>
  </cols>
  <sheetData>
    <row r="1" spans="1:7" ht="15.75" customHeight="1" x14ac:dyDescent="0.2">
      <c r="B1" s="186" t="s">
        <v>12</v>
      </c>
      <c r="C1" s="186"/>
      <c r="D1" s="186"/>
      <c r="E1"/>
      <c r="F1" s="74">
        <f>'BID SUMMARY'!F1</f>
        <v>45958</v>
      </c>
    </row>
    <row r="2" spans="1:7" ht="18" customHeight="1" x14ac:dyDescent="0.2">
      <c r="B2" s="186" t="s">
        <v>133</v>
      </c>
      <c r="C2" s="186"/>
      <c r="D2" s="186"/>
      <c r="E2" s="11" t="s">
        <v>0</v>
      </c>
      <c r="F2" s="148">
        <f>'BID SUMMARY'!F2</f>
        <v>337.11</v>
      </c>
    </row>
    <row r="3" spans="1:7" ht="12.75" hidden="1" customHeight="1" x14ac:dyDescent="0.2">
      <c r="B3" s="141" t="s">
        <v>110</v>
      </c>
      <c r="C3" s="141"/>
      <c r="D3" s="141"/>
      <c r="E3" s="111"/>
    </row>
    <row r="4" spans="1:7" ht="15.6" customHeight="1" x14ac:dyDescent="0.2"/>
    <row r="5" spans="1:7" ht="21.75" customHeight="1" thickBot="1" x14ac:dyDescent="0.25">
      <c r="A5" s="187" t="s">
        <v>127</v>
      </c>
      <c r="B5" s="187"/>
      <c r="C5" s="187"/>
      <c r="D5" s="187"/>
      <c r="E5" s="187"/>
      <c r="F5" s="140"/>
    </row>
    <row r="6" spans="1:7" ht="26.25" customHeight="1" thickBot="1" x14ac:dyDescent="0.25">
      <c r="A6" s="139" t="s">
        <v>13</v>
      </c>
      <c r="B6" s="138" t="s">
        <v>14</v>
      </c>
      <c r="C6" s="136" t="s">
        <v>15</v>
      </c>
      <c r="D6" s="137" t="s">
        <v>16</v>
      </c>
      <c r="E6" s="136" t="s">
        <v>17</v>
      </c>
      <c r="F6" s="135" t="s">
        <v>18</v>
      </c>
    </row>
    <row r="7" spans="1:7" ht="22.5" customHeight="1" x14ac:dyDescent="0.35">
      <c r="A7" s="134">
        <v>1</v>
      </c>
      <c r="B7" s="122" t="s">
        <v>125</v>
      </c>
      <c r="C7" s="121" t="s">
        <v>19</v>
      </c>
      <c r="D7" s="133">
        <v>552</v>
      </c>
      <c r="E7" s="125">
        <v>0</v>
      </c>
      <c r="F7" s="132">
        <f>D7*E7</f>
        <v>0</v>
      </c>
      <c r="G7" s="111" t="s">
        <v>132</v>
      </c>
    </row>
    <row r="8" spans="1:7" ht="22.5" customHeight="1" x14ac:dyDescent="0.35">
      <c r="A8" s="134">
        <v>2</v>
      </c>
      <c r="B8" s="122" t="s">
        <v>126</v>
      </c>
      <c r="C8" s="121" t="s">
        <v>19</v>
      </c>
      <c r="D8" s="133">
        <v>95383</v>
      </c>
      <c r="E8" s="125">
        <v>0</v>
      </c>
      <c r="F8" s="132">
        <f>D8*E8</f>
        <v>0</v>
      </c>
      <c r="G8" s="111" t="s">
        <v>132</v>
      </c>
    </row>
    <row r="9" spans="1:7" ht="22.5" customHeight="1" thickBot="1" x14ac:dyDescent="0.4">
      <c r="A9" s="131">
        <v>3</v>
      </c>
      <c r="B9" s="130" t="s">
        <v>222</v>
      </c>
      <c r="C9" s="129" t="s">
        <v>19</v>
      </c>
      <c r="D9" s="128">
        <v>84863</v>
      </c>
      <c r="E9" s="127">
        <v>0</v>
      </c>
      <c r="F9" s="126">
        <f>D9*E9</f>
        <v>0</v>
      </c>
    </row>
    <row r="10" spans="1:7" ht="20.25" customHeight="1" x14ac:dyDescent="0.35">
      <c r="A10" s="124"/>
      <c r="B10" s="123"/>
      <c r="C10" s="122"/>
      <c r="D10" s="121"/>
      <c r="E10" s="120" t="s">
        <v>20</v>
      </c>
      <c r="F10" s="125">
        <v>0</v>
      </c>
    </row>
    <row r="11" spans="1:7" ht="27" customHeight="1" x14ac:dyDescent="0.2">
      <c r="A11" s="124"/>
      <c r="B11" s="123"/>
      <c r="C11" s="122"/>
      <c r="D11" s="121"/>
      <c r="E11" s="120"/>
      <c r="F11" s="119"/>
    </row>
    <row r="12" spans="1:7" ht="29.25" customHeight="1" x14ac:dyDescent="0.2">
      <c r="A12" s="118" t="s">
        <v>7</v>
      </c>
      <c r="B12" s="188" t="s">
        <v>113</v>
      </c>
      <c r="C12" s="188"/>
      <c r="D12" s="188"/>
      <c r="E12" s="188"/>
      <c r="F12" s="188"/>
      <c r="G12" s="115"/>
    </row>
    <row r="13" spans="1:7" ht="55.5" customHeight="1" x14ac:dyDescent="0.2">
      <c r="A13" s="118" t="s">
        <v>7</v>
      </c>
      <c r="B13" s="185" t="s">
        <v>8</v>
      </c>
      <c r="C13" s="185"/>
      <c r="D13" s="185"/>
      <c r="E13" s="185"/>
      <c r="F13" s="185"/>
      <c r="G13" s="115"/>
    </row>
    <row r="14" spans="1:7" ht="91.5" customHeight="1" x14ac:dyDescent="0.2">
      <c r="A14" s="118" t="s">
        <v>7</v>
      </c>
      <c r="B14" s="185" t="s">
        <v>9</v>
      </c>
      <c r="C14" s="185"/>
      <c r="D14" s="185"/>
      <c r="E14" s="185"/>
      <c r="F14" s="185"/>
      <c r="G14" s="115"/>
    </row>
    <row r="15" spans="1:7" ht="54.75" customHeight="1" x14ac:dyDescent="0.2">
      <c r="A15" s="117" t="s">
        <v>7</v>
      </c>
      <c r="B15" s="185" t="s">
        <v>109</v>
      </c>
      <c r="C15" s="185"/>
      <c r="D15" s="185"/>
      <c r="E15" s="185"/>
      <c r="G15" s="115"/>
    </row>
    <row r="16" spans="1:7" ht="39.75" customHeight="1" x14ac:dyDescent="0.2">
      <c r="A16" s="117" t="s">
        <v>7</v>
      </c>
      <c r="B16" s="185" t="s">
        <v>108</v>
      </c>
      <c r="C16" s="185"/>
      <c r="D16" s="185"/>
      <c r="E16" s="185"/>
      <c r="G16" s="115"/>
    </row>
    <row r="17" spans="5:7" ht="23.25" customHeight="1" x14ac:dyDescent="0.2">
      <c r="E17" s="114" t="s">
        <v>10</v>
      </c>
      <c r="F17" s="116"/>
      <c r="G17" s="115"/>
    </row>
    <row r="18" spans="5:7" x14ac:dyDescent="0.2">
      <c r="E18" s="114" t="s">
        <v>11</v>
      </c>
      <c r="F18" s="113"/>
    </row>
  </sheetData>
  <mergeCells count="8">
    <mergeCell ref="B14:F14"/>
    <mergeCell ref="B15:E15"/>
    <mergeCell ref="B16:E16"/>
    <mergeCell ref="B1:D1"/>
    <mergeCell ref="B2:D2"/>
    <mergeCell ref="A5:E5"/>
    <mergeCell ref="B12:F12"/>
    <mergeCell ref="B13:F13"/>
  </mergeCells>
  <pageMargins left="0.7" right="0.7" top="0.75" bottom="0.75" header="0.3" footer="0.3"/>
  <pageSetup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8"/>
  <sheetViews>
    <sheetView view="pageBreakPreview" zoomScale="130" zoomScaleNormal="90" zoomScaleSheetLayoutView="130" workbookViewId="0">
      <selection activeCell="I11" sqref="I11"/>
    </sheetView>
  </sheetViews>
  <sheetFormatPr defaultRowHeight="12.75" x14ac:dyDescent="0.2"/>
  <cols>
    <col min="1" max="1" width="6.7109375" customWidth="1"/>
    <col min="2" max="2" width="40.85546875" customWidth="1"/>
    <col min="3" max="3" width="10.7109375" customWidth="1"/>
    <col min="4" max="4" width="13.5703125" style="50" customWidth="1"/>
    <col min="5" max="5" width="13.5703125" style="4" customWidth="1"/>
    <col min="6" max="6" width="15" customWidth="1"/>
    <col min="7" max="8" width="12.140625" customWidth="1"/>
    <col min="11" max="11" width="11.85546875" bestFit="1" customWidth="1"/>
    <col min="12" max="12" width="33.5703125" customWidth="1"/>
  </cols>
  <sheetData>
    <row r="1" spans="1:10" ht="15.75" x14ac:dyDescent="0.2">
      <c r="B1" s="190" t="s">
        <v>12</v>
      </c>
      <c r="C1" s="190"/>
      <c r="D1" s="190"/>
      <c r="E1"/>
      <c r="F1" s="74">
        <f>'BID SUMMARY'!F1</f>
        <v>45958</v>
      </c>
    </row>
    <row r="2" spans="1:10" ht="15.75" x14ac:dyDescent="0.2">
      <c r="B2" s="186" t="s">
        <v>133</v>
      </c>
      <c r="C2" s="186"/>
      <c r="D2" s="186"/>
      <c r="E2" s="11" t="s">
        <v>0</v>
      </c>
      <c r="F2" s="148">
        <f>'BID SUMMARY'!F2</f>
        <v>337.11</v>
      </c>
    </row>
    <row r="3" spans="1:10" ht="22.5" customHeight="1" x14ac:dyDescent="0.2"/>
    <row r="4" spans="1:10" ht="21.75" customHeight="1" thickBot="1" x14ac:dyDescent="0.25">
      <c r="A4" s="189" t="s">
        <v>64</v>
      </c>
      <c r="B4" s="189"/>
      <c r="C4" s="189"/>
      <c r="D4" s="189"/>
      <c r="E4" s="189"/>
      <c r="F4" s="54"/>
    </row>
    <row r="5" spans="1:10" ht="26.25" customHeight="1" thickBot="1" x14ac:dyDescent="0.25">
      <c r="A5" s="146" t="s">
        <v>13</v>
      </c>
      <c r="B5" s="41" t="s">
        <v>14</v>
      </c>
      <c r="C5" s="8" t="s">
        <v>15</v>
      </c>
      <c r="D5" s="9" t="s">
        <v>16</v>
      </c>
      <c r="E5" s="8" t="s">
        <v>17</v>
      </c>
      <c r="F5" s="65" t="s">
        <v>18</v>
      </c>
    </row>
    <row r="6" spans="1:10" ht="22.5" customHeight="1" x14ac:dyDescent="0.35">
      <c r="A6" s="145">
        <v>1</v>
      </c>
      <c r="B6" s="101" t="s">
        <v>21</v>
      </c>
      <c r="C6" s="102" t="s">
        <v>22</v>
      </c>
      <c r="D6" s="20">
        <v>2</v>
      </c>
      <c r="E6" s="10">
        <v>0</v>
      </c>
      <c r="F6" s="66">
        <f>D6*E6</f>
        <v>0</v>
      </c>
      <c r="G6" s="5" t="s">
        <v>132</v>
      </c>
    </row>
    <row r="7" spans="1:10" ht="22.5" customHeight="1" x14ac:dyDescent="0.35">
      <c r="A7" s="67">
        <f>A6+1</f>
        <v>2</v>
      </c>
      <c r="B7" s="101" t="s">
        <v>23</v>
      </c>
      <c r="C7" s="102" t="s">
        <v>22</v>
      </c>
      <c r="D7" s="20">
        <v>1</v>
      </c>
      <c r="E7" s="10">
        <v>0</v>
      </c>
      <c r="F7" s="66">
        <f>D7*E7</f>
        <v>0</v>
      </c>
      <c r="G7" s="5" t="s">
        <v>132</v>
      </c>
      <c r="H7" t="s">
        <v>234</v>
      </c>
      <c r="I7" t="s">
        <v>235</v>
      </c>
      <c r="J7" t="s">
        <v>236</v>
      </c>
    </row>
    <row r="8" spans="1:10" ht="22.5" customHeight="1" x14ac:dyDescent="0.35">
      <c r="A8" s="67">
        <f t="shared" ref="A8:A15" si="0">A7+1</f>
        <v>3</v>
      </c>
      <c r="B8" s="101" t="s">
        <v>237</v>
      </c>
      <c r="C8" s="102" t="s">
        <v>24</v>
      </c>
      <c r="D8" s="20">
        <f>H8</f>
        <v>11687</v>
      </c>
      <c r="E8" s="10">
        <v>0</v>
      </c>
      <c r="F8" s="66">
        <f>D8*E8</f>
        <v>0</v>
      </c>
      <c r="G8" s="5" t="s">
        <v>132</v>
      </c>
      <c r="H8" s="5">
        <f>3327+1871+164+1871+82+270+208+284+3047+563</f>
        <v>11687</v>
      </c>
      <c r="I8">
        <f>2360+927</f>
        <v>3287</v>
      </c>
      <c r="J8">
        <f>2079+2071+2479+2505</f>
        <v>9134</v>
      </c>
    </row>
    <row r="9" spans="1:10" ht="22.5" customHeight="1" x14ac:dyDescent="0.35">
      <c r="A9" s="67">
        <v>4</v>
      </c>
      <c r="B9" s="101" t="s">
        <v>238</v>
      </c>
      <c r="C9" s="102" t="s">
        <v>24</v>
      </c>
      <c r="D9" s="20">
        <f>I8</f>
        <v>3287</v>
      </c>
      <c r="E9" s="10">
        <v>0</v>
      </c>
      <c r="F9" s="66">
        <f t="shared" ref="F9:F10" si="1">D9*E9</f>
        <v>0</v>
      </c>
      <c r="G9" s="5"/>
      <c r="H9" s="5"/>
    </row>
    <row r="10" spans="1:10" ht="22.5" customHeight="1" x14ac:dyDescent="0.35">
      <c r="A10" s="67">
        <v>5</v>
      </c>
      <c r="B10" s="101" t="s">
        <v>239</v>
      </c>
      <c r="C10" s="102" t="s">
        <v>24</v>
      </c>
      <c r="D10" s="20">
        <f>J8</f>
        <v>9134</v>
      </c>
      <c r="E10" s="10">
        <v>0</v>
      </c>
      <c r="F10" s="66">
        <f t="shared" si="1"/>
        <v>0</v>
      </c>
      <c r="G10" s="5"/>
      <c r="H10" s="5"/>
    </row>
    <row r="11" spans="1:10" ht="22.5" customHeight="1" x14ac:dyDescent="0.35">
      <c r="A11" s="67">
        <v>6</v>
      </c>
      <c r="B11" s="101" t="s">
        <v>92</v>
      </c>
      <c r="C11" s="102" t="s">
        <v>24</v>
      </c>
      <c r="D11" s="20">
        <v>328</v>
      </c>
      <c r="E11" s="10">
        <v>0</v>
      </c>
      <c r="F11" s="66">
        <f>D11*E11</f>
        <v>0</v>
      </c>
      <c r="G11" s="5" t="s">
        <v>132</v>
      </c>
      <c r="H11" s="149">
        <f>41+41+41+41+41+41+41+41+41</f>
        <v>369</v>
      </c>
    </row>
    <row r="12" spans="1:10" ht="22.5" customHeight="1" x14ac:dyDescent="0.35">
      <c r="A12" s="67">
        <f t="shared" si="0"/>
        <v>7</v>
      </c>
      <c r="B12" s="101" t="s">
        <v>39</v>
      </c>
      <c r="C12" s="102" t="s">
        <v>24</v>
      </c>
      <c r="D12" s="20">
        <f>H12</f>
        <v>310</v>
      </c>
      <c r="E12" s="10">
        <v>0</v>
      </c>
      <c r="F12" s="66">
        <f>D12*E12</f>
        <v>0</v>
      </c>
      <c r="G12" s="5" t="s">
        <v>132</v>
      </c>
      <c r="H12" s="150">
        <f>40+40+40+40+40+40+40+30</f>
        <v>310</v>
      </c>
    </row>
    <row r="13" spans="1:10" ht="22.5" customHeight="1" x14ac:dyDescent="0.35">
      <c r="A13" s="67">
        <f t="shared" si="0"/>
        <v>8</v>
      </c>
      <c r="B13" s="101" t="s">
        <v>93</v>
      </c>
      <c r="C13" s="102" t="s">
        <v>24</v>
      </c>
      <c r="D13" s="20">
        <f>H13</f>
        <v>48</v>
      </c>
      <c r="E13" s="10">
        <v>0</v>
      </c>
      <c r="F13" s="66">
        <f t="shared" ref="F13:F14" si="2">D13*E13</f>
        <v>0</v>
      </c>
      <c r="G13" s="5" t="s">
        <v>132</v>
      </c>
      <c r="H13" s="151">
        <f>24+24</f>
        <v>48</v>
      </c>
    </row>
    <row r="14" spans="1:10" ht="22.5" customHeight="1" x14ac:dyDescent="0.35">
      <c r="A14" s="67">
        <f t="shared" si="0"/>
        <v>9</v>
      </c>
      <c r="B14" s="101" t="s">
        <v>227</v>
      </c>
      <c r="C14" s="102" t="s">
        <v>94</v>
      </c>
      <c r="D14" s="20">
        <v>10.24</v>
      </c>
      <c r="E14" s="10">
        <v>0</v>
      </c>
      <c r="F14" s="66">
        <f t="shared" si="2"/>
        <v>0</v>
      </c>
      <c r="G14" s="5" t="s">
        <v>132</v>
      </c>
    </row>
    <row r="15" spans="1:10" ht="22.5" customHeight="1" x14ac:dyDescent="0.35">
      <c r="A15" s="67">
        <f t="shared" si="0"/>
        <v>10</v>
      </c>
      <c r="B15" s="101" t="s">
        <v>228</v>
      </c>
      <c r="C15" s="102" t="s">
        <v>94</v>
      </c>
      <c r="D15" s="20">
        <v>10</v>
      </c>
      <c r="E15" s="10">
        <v>0</v>
      </c>
      <c r="F15" s="66">
        <f t="shared" ref="F15" si="3">D15*E15</f>
        <v>0</v>
      </c>
      <c r="G15" s="5"/>
    </row>
    <row r="16" spans="1:10" ht="22.5" customHeight="1" thickBot="1" x14ac:dyDescent="0.4">
      <c r="A16" s="144">
        <v>11</v>
      </c>
      <c r="B16" s="103" t="s">
        <v>184</v>
      </c>
      <c r="C16" s="104" t="s">
        <v>71</v>
      </c>
      <c r="D16" s="152">
        <v>1</v>
      </c>
      <c r="E16" s="22">
        <v>0</v>
      </c>
      <c r="F16" s="66">
        <f t="shared" ref="F16" si="4">D16*E16</f>
        <v>0</v>
      </c>
      <c r="G16" s="5"/>
    </row>
    <row r="17" spans="1:13" ht="22.5" customHeight="1" x14ac:dyDescent="0.35">
      <c r="A17" s="6"/>
      <c r="B17" s="12"/>
      <c r="C17" s="55"/>
      <c r="D17" s="7"/>
      <c r="E17" s="34" t="s">
        <v>20</v>
      </c>
      <c r="F17" s="71">
        <f>SUM(F6:F14)</f>
        <v>0</v>
      </c>
      <c r="G17" s="1"/>
    </row>
    <row r="18" spans="1:13" ht="18.75" customHeight="1" x14ac:dyDescent="0.35">
      <c r="A18" s="6"/>
      <c r="B18" s="12"/>
      <c r="C18" s="55"/>
      <c r="D18" s="7"/>
      <c r="E18" s="34"/>
      <c r="F18" s="10"/>
      <c r="G18" s="1"/>
    </row>
    <row r="19" spans="1:13" ht="66" customHeight="1" x14ac:dyDescent="0.2">
      <c r="A19" s="21" t="s">
        <v>48</v>
      </c>
      <c r="B19" s="191" t="s">
        <v>8</v>
      </c>
      <c r="C19" s="191"/>
      <c r="D19" s="191"/>
      <c r="E19" s="191"/>
      <c r="F19" s="191"/>
      <c r="G19" s="1"/>
    </row>
    <row r="20" spans="1:13" ht="123.75" customHeight="1" x14ac:dyDescent="0.2">
      <c r="A20" s="21" t="s">
        <v>48</v>
      </c>
      <c r="B20" s="191" t="s">
        <v>9</v>
      </c>
      <c r="C20" s="191"/>
      <c r="D20" s="191"/>
      <c r="E20" s="191"/>
      <c r="F20" s="191"/>
      <c r="G20" s="1"/>
    </row>
    <row r="21" spans="1:13" ht="409.5" customHeight="1" x14ac:dyDescent="0.2">
      <c r="A21" s="21" t="s">
        <v>48</v>
      </c>
      <c r="B21" s="180" t="s">
        <v>95</v>
      </c>
      <c r="C21" s="180"/>
      <c r="D21" s="180"/>
      <c r="E21" s="180"/>
      <c r="F21" s="180"/>
    </row>
    <row r="22" spans="1:13" ht="12.75" customHeight="1" x14ac:dyDescent="0.2">
      <c r="D22"/>
      <c r="E22" s="31" t="s">
        <v>10</v>
      </c>
      <c r="F22" s="2"/>
    </row>
    <row r="23" spans="1:13" x14ac:dyDescent="0.2">
      <c r="D23"/>
      <c r="E23" s="31" t="s">
        <v>11</v>
      </c>
      <c r="F23" s="3"/>
      <c r="G23" t="s">
        <v>82</v>
      </c>
      <c r="H23">
        <v>15</v>
      </c>
      <c r="K23" t="s">
        <v>83</v>
      </c>
      <c r="L23">
        <v>11</v>
      </c>
    </row>
    <row r="24" spans="1:13" x14ac:dyDescent="0.2">
      <c r="G24">
        <v>10</v>
      </c>
      <c r="H24">
        <v>5</v>
      </c>
      <c r="I24">
        <f>G24*H24</f>
        <v>50</v>
      </c>
      <c r="K24">
        <v>41</v>
      </c>
      <c r="L24">
        <v>6</v>
      </c>
      <c r="M24">
        <f>K24*L24</f>
        <v>246</v>
      </c>
    </row>
    <row r="25" spans="1:13" x14ac:dyDescent="0.2">
      <c r="G25">
        <v>12</v>
      </c>
      <c r="H25">
        <v>2</v>
      </c>
      <c r="I25">
        <f t="shared" ref="I25:I27" si="5">G25*H25</f>
        <v>24</v>
      </c>
      <c r="K25">
        <v>31</v>
      </c>
      <c r="L25">
        <v>5</v>
      </c>
      <c r="M25">
        <f>K25*L25</f>
        <v>155</v>
      </c>
    </row>
    <row r="26" spans="1:13" x14ac:dyDescent="0.2">
      <c r="G26">
        <v>30</v>
      </c>
      <c r="H26">
        <v>7</v>
      </c>
      <c r="I26">
        <f t="shared" si="5"/>
        <v>210</v>
      </c>
      <c r="L26">
        <f>SUM(L24:L25)</f>
        <v>11</v>
      </c>
      <c r="M26">
        <f>SUM(M24:M25)</f>
        <v>401</v>
      </c>
    </row>
    <row r="27" spans="1:13" x14ac:dyDescent="0.2">
      <c r="G27">
        <v>40</v>
      </c>
      <c r="H27">
        <v>1</v>
      </c>
      <c r="I27">
        <f t="shared" si="5"/>
        <v>40</v>
      </c>
    </row>
    <row r="28" spans="1:13" x14ac:dyDescent="0.2">
      <c r="H28">
        <f>SUM(H24:H27)</f>
        <v>15</v>
      </c>
      <c r="I28">
        <f>SUM(I24:I27)</f>
        <v>324</v>
      </c>
    </row>
  </sheetData>
  <mergeCells count="6">
    <mergeCell ref="B21:F21"/>
    <mergeCell ref="A4:E4"/>
    <mergeCell ref="B1:D1"/>
    <mergeCell ref="B2:D2"/>
    <mergeCell ref="B19:F19"/>
    <mergeCell ref="B20:F20"/>
  </mergeCells>
  <phoneticPr fontId="23" type="noConversion"/>
  <pageMargins left="0.56000000000000005" right="0.2" top="0.52" bottom="0.25" header="0.5" footer="0.35"/>
  <pageSetup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48"/>
  <sheetViews>
    <sheetView view="pageBreakPreview" zoomScale="115" zoomScaleNormal="115" zoomScaleSheetLayoutView="115" workbookViewId="0">
      <selection activeCell="B21" sqref="B21"/>
    </sheetView>
  </sheetViews>
  <sheetFormatPr defaultRowHeight="12.75" x14ac:dyDescent="0.2"/>
  <cols>
    <col min="1" max="1" width="7.140625" customWidth="1"/>
    <col min="2" max="2" width="38.28515625" customWidth="1"/>
    <col min="3" max="3" width="10.85546875" customWidth="1"/>
    <col min="4" max="4" width="12.42578125" customWidth="1"/>
    <col min="5" max="5" width="14.7109375" style="4" customWidth="1"/>
    <col min="6" max="6" width="15" customWidth="1"/>
    <col min="7" max="7" width="12.28515625" bestFit="1" customWidth="1"/>
  </cols>
  <sheetData>
    <row r="1" spans="1:32" ht="15.75" customHeight="1" x14ac:dyDescent="0.2">
      <c r="B1" s="190" t="s">
        <v>12</v>
      </c>
      <c r="C1" s="190"/>
      <c r="D1" s="190"/>
      <c r="E1"/>
      <c r="F1" s="74">
        <f>'BID SUMMARY'!F1</f>
        <v>45958</v>
      </c>
    </row>
    <row r="2" spans="1:32" ht="15.75" x14ac:dyDescent="0.2">
      <c r="B2" s="186" t="s">
        <v>133</v>
      </c>
      <c r="C2" s="186"/>
      <c r="D2" s="186"/>
      <c r="E2" s="11" t="s">
        <v>0</v>
      </c>
      <c r="F2" s="148">
        <f>'BID SUMMARY'!F2</f>
        <v>337.11</v>
      </c>
    </row>
    <row r="3" spans="1:32" ht="21.75" customHeight="1" x14ac:dyDescent="0.2">
      <c r="B3" s="48"/>
      <c r="C3" s="48"/>
      <c r="D3" s="48"/>
      <c r="E3"/>
    </row>
    <row r="4" spans="1:32" ht="21.75" customHeight="1" thickBot="1" x14ac:dyDescent="0.25">
      <c r="A4" s="193" t="s">
        <v>2</v>
      </c>
      <c r="B4" s="193"/>
      <c r="C4" s="193"/>
      <c r="D4" s="193"/>
      <c r="E4" s="193"/>
      <c r="F4" s="54"/>
    </row>
    <row r="5" spans="1:32" ht="40.5" customHeight="1" thickBot="1" x14ac:dyDescent="0.25">
      <c r="A5" s="64" t="s">
        <v>13</v>
      </c>
      <c r="B5" s="41" t="s">
        <v>14</v>
      </c>
      <c r="C5" s="8" t="s">
        <v>15</v>
      </c>
      <c r="D5" s="9" t="s">
        <v>16</v>
      </c>
      <c r="E5" s="8" t="s">
        <v>17</v>
      </c>
      <c r="F5" s="65" t="s">
        <v>18</v>
      </c>
      <c r="J5" s="50" t="s">
        <v>196</v>
      </c>
      <c r="K5" s="50" t="s">
        <v>196</v>
      </c>
      <c r="L5" s="50" t="s">
        <v>196</v>
      </c>
      <c r="M5" s="50" t="s">
        <v>196</v>
      </c>
      <c r="N5" s="50" t="s">
        <v>196</v>
      </c>
      <c r="O5" s="50" t="s">
        <v>197</v>
      </c>
      <c r="P5" s="50" t="s">
        <v>198</v>
      </c>
      <c r="Q5" s="50" t="s">
        <v>197</v>
      </c>
      <c r="R5" s="50" t="s">
        <v>199</v>
      </c>
      <c r="S5" s="50" t="s">
        <v>197</v>
      </c>
      <c r="Z5" s="60" t="s">
        <v>33</v>
      </c>
      <c r="AA5" s="50"/>
      <c r="AB5" s="50"/>
      <c r="AD5" s="61" t="s">
        <v>34</v>
      </c>
      <c r="AE5" s="61" t="s">
        <v>35</v>
      </c>
      <c r="AF5" s="61" t="s">
        <v>36</v>
      </c>
    </row>
    <row r="6" spans="1:32" ht="22.5" customHeight="1" x14ac:dyDescent="0.35">
      <c r="A6" s="75">
        <v>1</v>
      </c>
      <c r="B6" s="90" t="s">
        <v>200</v>
      </c>
      <c r="C6" s="7"/>
      <c r="D6" s="12"/>
      <c r="F6" s="66"/>
      <c r="G6" s="5" t="s">
        <v>132</v>
      </c>
      <c r="J6" s="50" t="s">
        <v>188</v>
      </c>
      <c r="K6" s="50" t="s">
        <v>189</v>
      </c>
      <c r="L6" s="50" t="s">
        <v>190</v>
      </c>
      <c r="M6" s="50" t="s">
        <v>191</v>
      </c>
      <c r="N6" s="50" t="s">
        <v>192</v>
      </c>
      <c r="O6" s="50" t="s">
        <v>193</v>
      </c>
      <c r="P6" s="50" t="s">
        <v>194</v>
      </c>
      <c r="Q6" s="50" t="s">
        <v>194</v>
      </c>
      <c r="R6" s="50" t="s">
        <v>194</v>
      </c>
      <c r="S6" s="50" t="s">
        <v>195</v>
      </c>
      <c r="Z6" s="62">
        <v>20</v>
      </c>
      <c r="AC6" s="50" t="s">
        <v>37</v>
      </c>
      <c r="AE6" s="59">
        <v>1</v>
      </c>
      <c r="AF6" s="59"/>
    </row>
    <row r="7" spans="1:32" ht="22.5" customHeight="1" x14ac:dyDescent="0.35">
      <c r="A7" s="75"/>
      <c r="B7" s="90" t="s">
        <v>204</v>
      </c>
      <c r="C7" s="7" t="s">
        <v>24</v>
      </c>
      <c r="D7" s="12">
        <f>M7</f>
        <v>220.09</v>
      </c>
      <c r="E7" s="10">
        <v>0</v>
      </c>
      <c r="F7" s="66">
        <f t="shared" ref="F7" si="0">D7*E7</f>
        <v>0</v>
      </c>
      <c r="G7" s="5" t="s">
        <v>132</v>
      </c>
      <c r="I7" s="165" t="s">
        <v>141</v>
      </c>
      <c r="J7" s="167"/>
      <c r="K7" s="167"/>
      <c r="L7" s="167"/>
      <c r="M7" s="167">
        <f>220.09</f>
        <v>220.09</v>
      </c>
      <c r="N7" s="167"/>
      <c r="O7" s="167"/>
      <c r="P7" s="167"/>
      <c r="Q7" s="167"/>
      <c r="R7" s="167"/>
      <c r="S7" s="167"/>
      <c r="Z7" s="62"/>
      <c r="AC7" s="50"/>
      <c r="AE7" s="59"/>
      <c r="AF7" s="59"/>
    </row>
    <row r="8" spans="1:32" ht="22.5" customHeight="1" x14ac:dyDescent="0.35">
      <c r="A8" s="75"/>
      <c r="B8" s="90" t="s">
        <v>203</v>
      </c>
      <c r="C8" s="7" t="s">
        <v>24</v>
      </c>
      <c r="D8" s="12">
        <f>J8+M8+N8</f>
        <v>351.05</v>
      </c>
      <c r="E8" s="10">
        <v>0</v>
      </c>
      <c r="F8" s="66">
        <f t="shared" ref="F8:F37" si="1">D8*E8</f>
        <v>0</v>
      </c>
      <c r="G8" s="5" t="s">
        <v>132</v>
      </c>
      <c r="I8" s="165" t="s">
        <v>138</v>
      </c>
      <c r="J8" s="167">
        <v>59.68</v>
      </c>
      <c r="K8" s="167"/>
      <c r="L8" s="167"/>
      <c r="M8" s="167">
        <f>60.21+92.16+104.31</f>
        <v>256.68</v>
      </c>
      <c r="N8" s="167">
        <f>34.69</f>
        <v>34.69</v>
      </c>
      <c r="O8" s="167">
        <f>156.5+49.8</f>
        <v>206.3</v>
      </c>
      <c r="P8" s="167"/>
      <c r="Q8" s="167">
        <f>40</f>
        <v>40</v>
      </c>
      <c r="R8" s="167"/>
      <c r="S8" s="167"/>
      <c r="Z8" s="62"/>
      <c r="AC8" s="50"/>
      <c r="AE8" s="59"/>
      <c r="AF8" s="59"/>
    </row>
    <row r="9" spans="1:32" ht="22.5" customHeight="1" x14ac:dyDescent="0.35">
      <c r="A9" s="75"/>
      <c r="B9" s="90" t="s">
        <v>98</v>
      </c>
      <c r="C9" s="7" t="s">
        <v>24</v>
      </c>
      <c r="D9" s="12">
        <f>O8+Q8</f>
        <v>246.3</v>
      </c>
      <c r="E9" s="10">
        <v>0</v>
      </c>
      <c r="F9" s="66">
        <f t="shared" ref="F9" si="2">D9*E9</f>
        <v>0</v>
      </c>
      <c r="G9" s="5" t="s">
        <v>132</v>
      </c>
      <c r="I9" s="165" t="s">
        <v>137</v>
      </c>
      <c r="J9" s="167">
        <f>158.47+15.52</f>
        <v>173.99</v>
      </c>
      <c r="K9" s="167">
        <f>73.25+2.49+93.45</f>
        <v>169.19</v>
      </c>
      <c r="L9" s="167">
        <f>193.71+2.48+148.74</f>
        <v>344.93</v>
      </c>
      <c r="M9" s="167">
        <f>8.99+139.06</f>
        <v>148.05000000000001</v>
      </c>
      <c r="N9" s="167">
        <f>77.34</f>
        <v>77.34</v>
      </c>
      <c r="O9" s="167">
        <f>31.3</f>
        <v>31.3</v>
      </c>
      <c r="P9" s="167"/>
      <c r="Q9" s="167"/>
      <c r="R9" s="167">
        <f>242.41</f>
        <v>242.41</v>
      </c>
      <c r="S9" s="167">
        <v>22.5</v>
      </c>
      <c r="Z9" s="62"/>
      <c r="AC9" s="50" t="s">
        <v>34</v>
      </c>
      <c r="AE9">
        <f>SUM(AE6:AE6)</f>
        <v>1</v>
      </c>
      <c r="AF9">
        <f>SUM(AF6:AF6)</f>
        <v>0</v>
      </c>
    </row>
    <row r="10" spans="1:32" ht="22.5" customHeight="1" thickBot="1" x14ac:dyDescent="0.4">
      <c r="A10" s="75"/>
      <c r="B10" s="90" t="s">
        <v>202</v>
      </c>
      <c r="C10" s="7" t="s">
        <v>24</v>
      </c>
      <c r="D10" s="12">
        <f>SUM(J9:N9)</f>
        <v>913.50000000000011</v>
      </c>
      <c r="E10" s="10">
        <v>0</v>
      </c>
      <c r="F10" s="66">
        <f t="shared" si="1"/>
        <v>0</v>
      </c>
      <c r="G10" s="5" t="s">
        <v>132</v>
      </c>
      <c r="I10" s="165" t="s">
        <v>136</v>
      </c>
      <c r="J10" s="167">
        <f>119.24+39.17+56.01+6.28+59.91+26.34</f>
        <v>306.95</v>
      </c>
      <c r="K10" s="167">
        <f>37.94+109.24</f>
        <v>147.18</v>
      </c>
      <c r="L10" s="167">
        <f>102.11</f>
        <v>102.11</v>
      </c>
      <c r="M10" s="167">
        <f>132.2</f>
        <v>132.19999999999999</v>
      </c>
      <c r="N10" s="167">
        <f>69</f>
        <v>69</v>
      </c>
      <c r="O10" s="167">
        <f>35.01</f>
        <v>35.01</v>
      </c>
      <c r="P10" s="167"/>
      <c r="Q10" s="167"/>
      <c r="R10" s="167">
        <f>5.54+151.87+13.5</f>
        <v>170.91</v>
      </c>
      <c r="S10" s="167"/>
      <c r="Z10" s="63"/>
    </row>
    <row r="11" spans="1:32" ht="22.5" customHeight="1" x14ac:dyDescent="0.35">
      <c r="A11" s="75"/>
      <c r="B11" s="90" t="s">
        <v>201</v>
      </c>
      <c r="C11" s="7" t="s">
        <v>24</v>
      </c>
      <c r="D11" s="12">
        <f>R9</f>
        <v>242.41</v>
      </c>
      <c r="E11" s="10">
        <v>0</v>
      </c>
      <c r="F11" s="66">
        <f t="shared" ref="F11" si="3">D11*E11</f>
        <v>0</v>
      </c>
      <c r="G11" s="5" t="s">
        <v>132</v>
      </c>
      <c r="I11" s="165" t="s">
        <v>135</v>
      </c>
      <c r="J11" s="50">
        <f>294.54+23.35+98.64+15.64+92.02</f>
        <v>524.19000000000005</v>
      </c>
      <c r="K11" s="167">
        <f>145.76+2.52+102.82+82.5</f>
        <v>333.6</v>
      </c>
      <c r="L11" s="167">
        <f>99.55</f>
        <v>99.55</v>
      </c>
      <c r="M11" s="167">
        <f>181.83</f>
        <v>181.83</v>
      </c>
      <c r="N11" s="167">
        <f>147.47</f>
        <v>147.47</v>
      </c>
      <c r="P11" s="167">
        <f>167.51+9.39</f>
        <v>176.89999999999998</v>
      </c>
      <c r="Q11" s="167"/>
      <c r="R11" s="167">
        <f>24.52</f>
        <v>24.52</v>
      </c>
      <c r="S11" s="167">
        <f>46.17</f>
        <v>46.17</v>
      </c>
    </row>
    <row r="12" spans="1:32" ht="22.5" customHeight="1" x14ac:dyDescent="0.35">
      <c r="A12" s="75"/>
      <c r="B12" s="90" t="s">
        <v>99</v>
      </c>
      <c r="C12" s="7" t="s">
        <v>24</v>
      </c>
      <c r="D12" s="12">
        <f>S9+O9</f>
        <v>53.8</v>
      </c>
      <c r="E12" s="10">
        <v>0</v>
      </c>
      <c r="F12" s="66">
        <f t="shared" ref="F12" si="4">D12*E12</f>
        <v>0</v>
      </c>
      <c r="G12" s="5" t="s">
        <v>132</v>
      </c>
      <c r="I12" s="165" t="s">
        <v>134</v>
      </c>
      <c r="J12" s="167">
        <f>67.22+2.18+2.68+15.15+48.52</f>
        <v>135.75000000000003</v>
      </c>
      <c r="K12" s="167">
        <f>107.57+2.52+27.46+80.73</f>
        <v>218.27999999999997</v>
      </c>
      <c r="L12" s="167">
        <f>95.65+2.15+51.96+16.02</f>
        <v>165.78000000000003</v>
      </c>
      <c r="M12" s="167">
        <f>161.25</f>
        <v>161.25</v>
      </c>
      <c r="N12" s="167">
        <f>55.52+33.14+18+10.01</f>
        <v>116.67</v>
      </c>
      <c r="O12" s="167">
        <f>137.5</f>
        <v>137.5</v>
      </c>
      <c r="P12" s="167">
        <f>20.28</f>
        <v>20.28</v>
      </c>
      <c r="Q12" s="167"/>
      <c r="R12" s="167"/>
      <c r="S12" s="167"/>
    </row>
    <row r="13" spans="1:32" ht="22.5" customHeight="1" x14ac:dyDescent="0.35">
      <c r="A13" s="75"/>
      <c r="B13" s="90" t="s">
        <v>205</v>
      </c>
      <c r="C13" s="7" t="s">
        <v>24</v>
      </c>
      <c r="D13" s="12">
        <f>SUM(J10:N10)</f>
        <v>757.44</v>
      </c>
      <c r="E13" s="10">
        <v>0</v>
      </c>
      <c r="F13" s="66">
        <f t="shared" si="1"/>
        <v>0</v>
      </c>
      <c r="G13" s="5" t="s">
        <v>132</v>
      </c>
      <c r="I13" s="165" t="s">
        <v>139</v>
      </c>
      <c r="J13" s="167"/>
      <c r="K13" s="167">
        <f>143.45+82.49+2.49+6.98</f>
        <v>235.41</v>
      </c>
      <c r="L13" s="167">
        <f>42.65+100.9+189.59</f>
        <v>333.14</v>
      </c>
      <c r="M13" s="167"/>
      <c r="N13" s="167">
        <f>85.76+77.1</f>
        <v>162.86000000000001</v>
      </c>
      <c r="O13" s="167"/>
      <c r="P13" s="167"/>
      <c r="Q13" s="167"/>
      <c r="R13" s="167"/>
      <c r="S13" s="167"/>
    </row>
    <row r="14" spans="1:32" ht="22.5" customHeight="1" x14ac:dyDescent="0.35">
      <c r="A14" s="75"/>
      <c r="B14" s="90" t="s">
        <v>206</v>
      </c>
      <c r="C14" s="7" t="s">
        <v>24</v>
      </c>
      <c r="D14" s="12">
        <f>R10</f>
        <v>170.91</v>
      </c>
      <c r="E14" s="10">
        <v>0</v>
      </c>
      <c r="F14" s="66">
        <f t="shared" ref="F14" si="5">D14*E14</f>
        <v>0</v>
      </c>
      <c r="G14" s="5" t="s">
        <v>132</v>
      </c>
      <c r="I14" s="166" t="s">
        <v>140</v>
      </c>
      <c r="J14" s="168"/>
      <c r="K14" s="168">
        <f>99.62</f>
        <v>99.62</v>
      </c>
      <c r="L14" s="168">
        <f>154.91</f>
        <v>154.91</v>
      </c>
      <c r="M14" s="168"/>
      <c r="N14" s="168">
        <f>142.53+143.75</f>
        <v>286.27999999999997</v>
      </c>
      <c r="O14" s="168"/>
      <c r="P14" s="168"/>
      <c r="Q14" s="168"/>
      <c r="R14" s="168"/>
      <c r="S14" s="168"/>
    </row>
    <row r="15" spans="1:32" ht="22.5" customHeight="1" x14ac:dyDescent="0.35">
      <c r="A15" s="75"/>
      <c r="B15" s="90" t="s">
        <v>100</v>
      </c>
      <c r="C15" s="7" t="s">
        <v>24</v>
      </c>
      <c r="D15" s="12">
        <f>O10</f>
        <v>35.01</v>
      </c>
      <c r="E15" s="10">
        <v>0</v>
      </c>
      <c r="F15" s="66">
        <f t="shared" ref="F15" si="6">D15*E15</f>
        <v>0</v>
      </c>
      <c r="G15" s="5" t="s">
        <v>132</v>
      </c>
      <c r="I15" s="32"/>
    </row>
    <row r="16" spans="1:32" ht="22.5" customHeight="1" x14ac:dyDescent="0.35">
      <c r="A16" s="75"/>
      <c r="B16" s="90" t="s">
        <v>207</v>
      </c>
      <c r="C16" s="7" t="s">
        <v>24</v>
      </c>
      <c r="D16" s="12">
        <f>SUM(J11:N11)</f>
        <v>1286.6400000000001</v>
      </c>
      <c r="E16" s="10">
        <v>0</v>
      </c>
      <c r="F16" s="66">
        <f t="shared" si="1"/>
        <v>0</v>
      </c>
      <c r="G16" s="5" t="s">
        <v>132</v>
      </c>
      <c r="I16" s="5"/>
    </row>
    <row r="17" spans="1:17" ht="22.5" customHeight="1" x14ac:dyDescent="0.35">
      <c r="A17" s="75"/>
      <c r="B17" s="90" t="s">
        <v>208</v>
      </c>
      <c r="C17" s="7" t="s">
        <v>24</v>
      </c>
      <c r="D17" s="12">
        <f>P11</f>
        <v>176.89999999999998</v>
      </c>
      <c r="E17" s="10">
        <v>0</v>
      </c>
      <c r="F17" s="66">
        <f t="shared" ref="F17" si="7">D17*E17</f>
        <v>0</v>
      </c>
      <c r="G17" s="5" t="s">
        <v>132</v>
      </c>
      <c r="Q17">
        <f>SUM(J7:S15)</f>
        <v>6752.4699999999993</v>
      </c>
    </row>
    <row r="18" spans="1:17" ht="22.5" customHeight="1" x14ac:dyDescent="0.35">
      <c r="A18" s="75"/>
      <c r="B18" s="90" t="s">
        <v>209</v>
      </c>
      <c r="C18" s="7" t="s">
        <v>24</v>
      </c>
      <c r="D18" s="12">
        <f>R11</f>
        <v>24.52</v>
      </c>
      <c r="E18" s="10">
        <v>0</v>
      </c>
      <c r="F18" s="66">
        <f t="shared" ref="F18" si="8">D18*E18</f>
        <v>0</v>
      </c>
      <c r="G18" s="5" t="s">
        <v>132</v>
      </c>
    </row>
    <row r="19" spans="1:17" ht="22.5" customHeight="1" x14ac:dyDescent="0.35">
      <c r="A19" s="75"/>
      <c r="B19" s="90" t="s">
        <v>101</v>
      </c>
      <c r="C19" s="7" t="s">
        <v>24</v>
      </c>
      <c r="D19" s="12">
        <f>S11</f>
        <v>46.17</v>
      </c>
      <c r="E19" s="10">
        <v>0</v>
      </c>
      <c r="F19" s="66">
        <f t="shared" ref="F19" si="9">D19*E19</f>
        <v>0</v>
      </c>
      <c r="G19" s="5" t="s">
        <v>132</v>
      </c>
      <c r="H19" s="153">
        <f>9+7</f>
        <v>16</v>
      </c>
    </row>
    <row r="20" spans="1:17" ht="22.5" customHeight="1" x14ac:dyDescent="0.35">
      <c r="A20" s="75"/>
      <c r="B20" s="90" t="s">
        <v>210</v>
      </c>
      <c r="C20" s="7" t="s">
        <v>24</v>
      </c>
      <c r="D20" s="12">
        <f>SUM(J12:N12)</f>
        <v>797.7299999999999</v>
      </c>
      <c r="E20" s="10">
        <v>0</v>
      </c>
      <c r="F20" s="66">
        <f t="shared" si="1"/>
        <v>0</v>
      </c>
      <c r="G20" s="5" t="s">
        <v>132</v>
      </c>
      <c r="H20" s="154">
        <f>(14.3+10.6+12.4+14.13+14.32+15.93+16.79+9.83+9.4+14.37+14.92+20.53+18.02+15.83+14.45+16.13+19.49+6.81+6.85+18.4)-(20*6)</f>
        <v>163.5</v>
      </c>
    </row>
    <row r="21" spans="1:17" ht="22.5" customHeight="1" x14ac:dyDescent="0.35">
      <c r="A21" s="75"/>
      <c r="B21" s="90" t="s">
        <v>211</v>
      </c>
      <c r="C21" s="7" t="s">
        <v>24</v>
      </c>
      <c r="D21" s="12">
        <f>P12</f>
        <v>20.28</v>
      </c>
      <c r="E21" s="10">
        <v>0</v>
      </c>
      <c r="F21" s="66">
        <f t="shared" ref="F21" si="10">D21*E21</f>
        <v>0</v>
      </c>
      <c r="G21" s="5" t="s">
        <v>132</v>
      </c>
    </row>
    <row r="22" spans="1:17" ht="22.5" customHeight="1" x14ac:dyDescent="0.35">
      <c r="A22" s="75"/>
      <c r="B22" s="90" t="s">
        <v>102</v>
      </c>
      <c r="C22" s="7" t="s">
        <v>24</v>
      </c>
      <c r="D22" s="12">
        <f>O12</f>
        <v>137.5</v>
      </c>
      <c r="E22" s="10">
        <v>0</v>
      </c>
      <c r="F22" s="66">
        <f t="shared" ref="F22" si="11">D22*E22</f>
        <v>0</v>
      </c>
      <c r="G22" s="5" t="s">
        <v>132</v>
      </c>
    </row>
    <row r="23" spans="1:17" ht="22.5" customHeight="1" x14ac:dyDescent="0.35">
      <c r="A23" s="75"/>
      <c r="B23" s="90" t="s">
        <v>212</v>
      </c>
      <c r="C23" s="7" t="s">
        <v>24</v>
      </c>
      <c r="D23" s="12">
        <f>SUM(K13:N13)</f>
        <v>731.41</v>
      </c>
      <c r="E23" s="10">
        <v>0</v>
      </c>
      <c r="F23" s="66">
        <f t="shared" ref="F23:F24" si="12">D23*E23</f>
        <v>0</v>
      </c>
      <c r="G23" s="5" t="s">
        <v>132</v>
      </c>
    </row>
    <row r="24" spans="1:17" ht="22.5" customHeight="1" x14ac:dyDescent="0.35">
      <c r="A24" s="75"/>
      <c r="B24" s="90" t="s">
        <v>213</v>
      </c>
      <c r="C24" s="7" t="s">
        <v>24</v>
      </c>
      <c r="D24" s="12">
        <f>SUM(K14:N14)</f>
        <v>540.80999999999995</v>
      </c>
      <c r="E24" s="10">
        <v>0</v>
      </c>
      <c r="F24" s="66">
        <f t="shared" si="12"/>
        <v>0</v>
      </c>
      <c r="G24" s="5" t="s">
        <v>132</v>
      </c>
      <c r="H24" s="169" t="s">
        <v>214</v>
      </c>
      <c r="I24" s="169" t="s">
        <v>215</v>
      </c>
      <c r="J24" s="169" t="s">
        <v>216</v>
      </c>
      <c r="K24" s="169" t="s">
        <v>217</v>
      </c>
      <c r="L24" s="169" t="s">
        <v>218</v>
      </c>
      <c r="M24" s="169" t="s">
        <v>219</v>
      </c>
      <c r="N24" s="169" t="s">
        <v>220</v>
      </c>
      <c r="O24" s="169" t="s">
        <v>193</v>
      </c>
      <c r="P24" s="169" t="s">
        <v>194</v>
      </c>
      <c r="Q24" s="169" t="s">
        <v>195</v>
      </c>
    </row>
    <row r="25" spans="1:17" ht="25.5" x14ac:dyDescent="0.35">
      <c r="A25" s="75">
        <f>A6+1</f>
        <v>2</v>
      </c>
      <c r="B25" s="85" t="s">
        <v>96</v>
      </c>
      <c r="C25" s="7" t="s">
        <v>22</v>
      </c>
      <c r="D25" s="12">
        <v>51</v>
      </c>
      <c r="E25" s="10">
        <v>0</v>
      </c>
      <c r="F25" s="66">
        <f t="shared" si="1"/>
        <v>0</v>
      </c>
      <c r="G25" s="5" t="s">
        <v>132</v>
      </c>
      <c r="H25" s="170"/>
      <c r="I25" s="170"/>
      <c r="J25" s="170"/>
      <c r="K25" s="170"/>
      <c r="L25" s="170"/>
      <c r="M25" s="170"/>
      <c r="N25" s="170"/>
      <c r="O25" s="170"/>
      <c r="P25" s="170"/>
      <c r="Q25" s="170"/>
    </row>
    <row r="26" spans="1:17" ht="25.5" x14ac:dyDescent="0.35">
      <c r="A26" s="75">
        <f t="shared" ref="A26:A30" si="13">A25+1</f>
        <v>3</v>
      </c>
      <c r="B26" s="85" t="s">
        <v>97</v>
      </c>
      <c r="C26" s="7" t="s">
        <v>22</v>
      </c>
      <c r="D26" s="12">
        <v>49</v>
      </c>
      <c r="E26" s="10">
        <v>0</v>
      </c>
      <c r="F26" s="66">
        <f t="shared" si="1"/>
        <v>0</v>
      </c>
      <c r="G26" s="5" t="s">
        <v>132</v>
      </c>
      <c r="H26" s="171"/>
      <c r="I26" s="171"/>
      <c r="J26" s="171"/>
      <c r="K26" s="171"/>
      <c r="L26" s="171"/>
      <c r="M26" s="171"/>
      <c r="N26" s="171"/>
      <c r="O26" s="171"/>
      <c r="P26" s="171"/>
      <c r="Q26" s="171"/>
    </row>
    <row r="27" spans="1:17" ht="18" customHeight="1" x14ac:dyDescent="0.35">
      <c r="A27" s="75">
        <f t="shared" si="13"/>
        <v>4</v>
      </c>
      <c r="B27" s="85" t="s">
        <v>70</v>
      </c>
      <c r="C27" s="7" t="s">
        <v>22</v>
      </c>
      <c r="D27" s="12">
        <f>SUM(H27:P27)</f>
        <v>15</v>
      </c>
      <c r="E27" s="10">
        <v>0</v>
      </c>
      <c r="F27" s="66">
        <f t="shared" si="1"/>
        <v>0</v>
      </c>
      <c r="G27" s="5" t="s">
        <v>132</v>
      </c>
      <c r="H27" s="172"/>
      <c r="I27" s="172"/>
      <c r="J27" s="172">
        <v>3</v>
      </c>
      <c r="K27" s="172">
        <v>2</v>
      </c>
      <c r="L27" s="172">
        <v>2</v>
      </c>
      <c r="M27" s="172">
        <v>2</v>
      </c>
      <c r="N27" s="172">
        <v>1</v>
      </c>
      <c r="O27" s="172">
        <v>2</v>
      </c>
      <c r="P27" s="172">
        <v>3</v>
      </c>
      <c r="Q27" s="172"/>
    </row>
    <row r="28" spans="1:17" ht="18" customHeight="1" x14ac:dyDescent="0.35">
      <c r="A28" s="75">
        <f t="shared" si="13"/>
        <v>5</v>
      </c>
      <c r="B28" s="90" t="s">
        <v>72</v>
      </c>
      <c r="C28" s="7" t="s">
        <v>25</v>
      </c>
      <c r="D28" s="12">
        <f>SUM(J28:N28)</f>
        <v>122.7</v>
      </c>
      <c r="E28" s="10">
        <v>0</v>
      </c>
      <c r="F28" s="66">
        <f t="shared" si="1"/>
        <v>0</v>
      </c>
      <c r="H28" s="172"/>
      <c r="I28" s="172"/>
      <c r="J28" s="172">
        <f>(14.3+10.8+12.6)-(18)</f>
        <v>19.700000000000003</v>
      </c>
      <c r="K28" s="172">
        <f>(15.3+15.9+16.8+9.4)-(6*4)</f>
        <v>33.4</v>
      </c>
      <c r="L28" s="172">
        <f>(9.8+18+17.4)-18</f>
        <v>27.200000000000003</v>
      </c>
      <c r="M28" s="172">
        <f>(13.3+11.9+13.9)-18</f>
        <v>21.1</v>
      </c>
      <c r="N28" s="172">
        <f>(17.2+16.1)-12</f>
        <v>21.299999999999997</v>
      </c>
      <c r="O28" s="172">
        <f>(6.8+7.3)-12</f>
        <v>2.0999999999999996</v>
      </c>
      <c r="P28" s="172">
        <f>(13+14.8+16.4)-18</f>
        <v>26.200000000000003</v>
      </c>
      <c r="Q28" s="172"/>
    </row>
    <row r="29" spans="1:17" ht="18" customHeight="1" x14ac:dyDescent="0.35">
      <c r="A29" s="75">
        <f>A28+1</f>
        <v>6</v>
      </c>
      <c r="B29" s="90" t="s">
        <v>103</v>
      </c>
      <c r="C29" s="32" t="s">
        <v>22</v>
      </c>
      <c r="D29" s="12">
        <v>1</v>
      </c>
      <c r="E29" s="10">
        <v>0</v>
      </c>
      <c r="F29" s="66">
        <f t="shared" si="1"/>
        <v>0</v>
      </c>
      <c r="H29" s="172"/>
      <c r="I29" s="172"/>
      <c r="J29" s="172"/>
      <c r="K29" s="172"/>
      <c r="L29" s="172"/>
      <c r="M29" s="172"/>
      <c r="N29" s="172"/>
      <c r="O29" s="172"/>
      <c r="P29" s="172"/>
      <c r="Q29" s="172"/>
    </row>
    <row r="30" spans="1:17" ht="18" customHeight="1" x14ac:dyDescent="0.35">
      <c r="A30" s="75">
        <f t="shared" si="13"/>
        <v>7</v>
      </c>
      <c r="B30" s="90" t="s">
        <v>26</v>
      </c>
      <c r="C30" s="32" t="s">
        <v>24</v>
      </c>
      <c r="D30" s="20">
        <f>SUM(D7:D24)</f>
        <v>6752.4699999999993</v>
      </c>
      <c r="E30" s="10">
        <v>0</v>
      </c>
      <c r="F30" s="66">
        <f t="shared" si="1"/>
        <v>0</v>
      </c>
      <c r="H30" s="172"/>
      <c r="I30" s="172"/>
      <c r="J30" s="172"/>
      <c r="K30" s="172"/>
      <c r="L30" s="172"/>
      <c r="M30" s="172"/>
      <c r="N30" s="172"/>
      <c r="O30" s="172"/>
      <c r="P30" s="172"/>
      <c r="Q30" s="172"/>
    </row>
    <row r="31" spans="1:17" ht="18" customHeight="1" x14ac:dyDescent="0.35">
      <c r="A31" s="75">
        <f>A30+1</f>
        <v>8</v>
      </c>
      <c r="B31" s="90" t="s">
        <v>50</v>
      </c>
      <c r="C31" s="32" t="s">
        <v>71</v>
      </c>
      <c r="D31" s="20">
        <v>1</v>
      </c>
      <c r="E31" s="10">
        <v>0</v>
      </c>
      <c r="F31" s="66">
        <f t="shared" si="1"/>
        <v>0</v>
      </c>
      <c r="H31" s="172"/>
      <c r="I31" s="172"/>
      <c r="J31" s="172"/>
      <c r="K31" s="172"/>
      <c r="L31" s="172"/>
      <c r="M31" s="172"/>
      <c r="N31" s="172"/>
      <c r="O31" s="172"/>
      <c r="P31" s="172"/>
      <c r="Q31" s="172"/>
    </row>
    <row r="32" spans="1:17" ht="18" customHeight="1" x14ac:dyDescent="0.35">
      <c r="A32" s="75">
        <v>9</v>
      </c>
      <c r="B32" s="90" t="s">
        <v>104</v>
      </c>
      <c r="C32" s="32" t="s">
        <v>24</v>
      </c>
      <c r="D32" s="20">
        <f>D30</f>
        <v>6752.4699999999993</v>
      </c>
      <c r="E32" s="10">
        <v>0</v>
      </c>
      <c r="F32" s="66">
        <f t="shared" si="1"/>
        <v>0</v>
      </c>
      <c r="H32" s="172"/>
      <c r="I32" s="172"/>
      <c r="J32" s="172"/>
      <c r="K32" s="172"/>
      <c r="L32" s="172"/>
      <c r="M32" s="172"/>
      <c r="N32" s="172"/>
      <c r="O32" s="172"/>
      <c r="P32" s="172"/>
      <c r="Q32" s="172"/>
    </row>
    <row r="33" spans="1:17" ht="18" customHeight="1" x14ac:dyDescent="0.35">
      <c r="A33" s="75">
        <v>10</v>
      </c>
      <c r="B33" s="90" t="s">
        <v>105</v>
      </c>
      <c r="C33" s="32" t="s">
        <v>24</v>
      </c>
      <c r="D33" s="20">
        <f>SUM(L33:N33)</f>
        <v>532.59999999999991</v>
      </c>
      <c r="E33" s="10">
        <v>0</v>
      </c>
      <c r="F33" s="66">
        <f t="shared" si="1"/>
        <v>0</v>
      </c>
      <c r="H33" s="172"/>
      <c r="I33" s="172"/>
      <c r="J33" s="172"/>
      <c r="L33" s="172">
        <f>8.4+9.5+9.7+(2*(9.9+9.9+9.4+9.2+8.6+8.4+7.7))</f>
        <v>153.80000000000001</v>
      </c>
      <c r="M33" s="172">
        <f>1.6+2+(2*(7.6+7+6.8+6.2+6+5.4+5.3+4.7+3.9+4.5+3.7+3.3+3.1+2.6+2.5+1.8+2.1+2.5+2.6+3.1+3.2+3.6+3.7+4.1+4.2))</f>
        <v>210.59999999999991</v>
      </c>
      <c r="N33" s="172">
        <f>(2*(4.7+4.8+5.2+5.3+5.8+5.9+6.3+6.5+6.9+7.1+8.1+8.3+9.2))</f>
        <v>168.2</v>
      </c>
      <c r="O33" s="172"/>
      <c r="P33" s="172"/>
      <c r="Q33" s="172"/>
    </row>
    <row r="34" spans="1:17" ht="18" customHeight="1" x14ac:dyDescent="0.35">
      <c r="A34" s="75">
        <v>11</v>
      </c>
      <c r="B34" s="90" t="s">
        <v>106</v>
      </c>
      <c r="C34" s="32" t="s">
        <v>22</v>
      </c>
      <c r="D34" s="20">
        <f>SUM(K34:N34)</f>
        <v>4</v>
      </c>
      <c r="E34" s="10">
        <v>0</v>
      </c>
      <c r="F34" s="66">
        <f t="shared" si="1"/>
        <v>0</v>
      </c>
      <c r="H34" s="172"/>
      <c r="I34" s="172"/>
      <c r="J34" s="172"/>
      <c r="K34" s="172">
        <v>1</v>
      </c>
      <c r="L34" s="172">
        <v>1</v>
      </c>
      <c r="M34" s="172">
        <v>1</v>
      </c>
      <c r="N34" s="172">
        <v>1</v>
      </c>
      <c r="O34" s="172"/>
      <c r="P34" s="172"/>
      <c r="Q34" s="172"/>
    </row>
    <row r="35" spans="1:17" ht="18" customHeight="1" x14ac:dyDescent="0.35">
      <c r="A35" s="75">
        <v>12</v>
      </c>
      <c r="B35" s="90" t="s">
        <v>143</v>
      </c>
      <c r="C35" s="32" t="s">
        <v>22</v>
      </c>
      <c r="D35" s="20">
        <f>K35</f>
        <v>1</v>
      </c>
      <c r="E35" s="10">
        <v>0</v>
      </c>
      <c r="F35" s="66">
        <f t="shared" si="1"/>
        <v>0</v>
      </c>
      <c r="H35" s="172"/>
      <c r="I35" s="172"/>
      <c r="J35" s="172"/>
      <c r="K35" s="172">
        <v>1</v>
      </c>
      <c r="L35" s="172"/>
      <c r="M35" s="172"/>
      <c r="N35" s="172"/>
      <c r="O35" s="172"/>
      <c r="P35" s="172"/>
      <c r="Q35" s="172"/>
    </row>
    <row r="36" spans="1:17" ht="18" customHeight="1" x14ac:dyDescent="0.35">
      <c r="A36" s="75">
        <v>13</v>
      </c>
      <c r="B36" s="90" t="s">
        <v>221</v>
      </c>
      <c r="C36" s="32" t="s">
        <v>24</v>
      </c>
      <c r="D36" s="20">
        <f>J36+N36</f>
        <v>133</v>
      </c>
      <c r="E36" s="10">
        <v>0</v>
      </c>
      <c r="F36" s="66">
        <f t="shared" ref="F36" si="14">D36*E36</f>
        <v>0</v>
      </c>
      <c r="H36" s="172"/>
      <c r="I36" s="172"/>
      <c r="J36" s="172">
        <v>48</v>
      </c>
      <c r="K36" s="172"/>
      <c r="L36" s="172"/>
      <c r="M36" s="172"/>
      <c r="N36" s="172">
        <v>85</v>
      </c>
      <c r="O36" s="172"/>
      <c r="P36" s="172"/>
      <c r="Q36" s="172"/>
    </row>
    <row r="37" spans="1:17" ht="15.75" thickBot="1" x14ac:dyDescent="0.4">
      <c r="A37" s="142">
        <v>14</v>
      </c>
      <c r="B37" s="49" t="s">
        <v>107</v>
      </c>
      <c r="C37" s="51" t="s">
        <v>22</v>
      </c>
      <c r="D37" s="100">
        <f>SUM(H37:I37)</f>
        <v>12</v>
      </c>
      <c r="E37" s="22">
        <v>0</v>
      </c>
      <c r="F37" s="109">
        <f t="shared" si="1"/>
        <v>0</v>
      </c>
      <c r="H37" s="172">
        <v>7</v>
      </c>
      <c r="I37" s="172">
        <v>5</v>
      </c>
      <c r="J37" s="172"/>
      <c r="K37" s="172"/>
      <c r="L37" s="172"/>
      <c r="M37" s="172"/>
      <c r="N37" s="172"/>
      <c r="O37" s="172"/>
      <c r="P37" s="172"/>
      <c r="Q37" s="172"/>
    </row>
    <row r="38" spans="1:17" ht="15" x14ac:dyDescent="0.35">
      <c r="C38" s="7"/>
      <c r="D38" s="20"/>
      <c r="E38" s="27" t="s">
        <v>20</v>
      </c>
      <c r="F38" s="10">
        <f>SUM(F8:F37)</f>
        <v>0</v>
      </c>
      <c r="H38" s="170"/>
      <c r="I38" s="170"/>
      <c r="J38" s="170"/>
      <c r="K38" s="170"/>
      <c r="L38" s="170"/>
      <c r="M38" s="170"/>
      <c r="N38" s="170"/>
      <c r="O38" s="170"/>
      <c r="P38" s="170"/>
      <c r="Q38" s="170"/>
    </row>
    <row r="39" spans="1:17" ht="15" x14ac:dyDescent="0.35">
      <c r="A39" s="30"/>
      <c r="C39" s="7"/>
      <c r="D39" s="20"/>
      <c r="E39" s="27"/>
      <c r="F39" s="10"/>
      <c r="H39" s="170"/>
      <c r="I39" s="170"/>
      <c r="J39" s="170"/>
      <c r="K39" s="170"/>
      <c r="L39" s="170"/>
      <c r="M39" s="170"/>
      <c r="N39" s="170"/>
      <c r="O39" s="170"/>
      <c r="P39" s="170"/>
      <c r="Q39" s="170"/>
    </row>
    <row r="40" spans="1:17" ht="56.25" customHeight="1" x14ac:dyDescent="0.2">
      <c r="A40" s="21" t="s">
        <v>48</v>
      </c>
      <c r="B40" s="192" t="s">
        <v>8</v>
      </c>
      <c r="C40" s="192"/>
      <c r="D40" s="192"/>
      <c r="E40" s="192"/>
      <c r="F40" s="192"/>
    </row>
    <row r="41" spans="1:17" ht="91.5" customHeight="1" x14ac:dyDescent="0.2">
      <c r="A41" s="21" t="s">
        <v>48</v>
      </c>
      <c r="B41" s="192" t="s">
        <v>9</v>
      </c>
      <c r="C41" s="192"/>
      <c r="D41" s="192"/>
      <c r="E41" s="192"/>
      <c r="F41" s="192"/>
    </row>
    <row r="42" spans="1:17" x14ac:dyDescent="0.2">
      <c r="E42" s="110" t="s">
        <v>10</v>
      </c>
      <c r="F42" s="2"/>
    </row>
    <row r="43" spans="1:17" x14ac:dyDescent="0.2">
      <c r="E43" s="31" t="s">
        <v>11</v>
      </c>
      <c r="F43" s="3"/>
    </row>
    <row r="44" spans="1:17" x14ac:dyDescent="0.2">
      <c r="A44" s="21"/>
      <c r="B44" s="107"/>
    </row>
    <row r="45" spans="1:17" x14ac:dyDescent="0.2">
      <c r="A45" s="30"/>
      <c r="E45"/>
    </row>
    <row r="48" spans="1:17" x14ac:dyDescent="0.2">
      <c r="C48" s="107"/>
      <c r="D48" s="107"/>
      <c r="E48" s="107"/>
    </row>
  </sheetData>
  <mergeCells count="5">
    <mergeCell ref="B40:F40"/>
    <mergeCell ref="B41:F41"/>
    <mergeCell ref="B1:D1"/>
    <mergeCell ref="B2:D2"/>
    <mergeCell ref="A4:E4"/>
  </mergeCells>
  <phoneticPr fontId="22" type="noConversion"/>
  <pageMargins left="0.56000000000000005" right="0.2" top="0.52" bottom="0.25" header="0.5" footer="0.35"/>
  <pageSetup scale="73" orientation="portrait" r:id="rId1"/>
  <headerFooter alignWithMargins="0"/>
  <rowBreaks count="1" manualBreakCount="1">
    <brk id="43"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EECB3-5C91-41F5-9331-7B722DB3ADB1}">
  <dimension ref="A1:AA48"/>
  <sheetViews>
    <sheetView view="pageBreakPreview" topLeftCell="A7" zoomScaleNormal="90" zoomScaleSheetLayoutView="100" workbookViewId="0">
      <selection activeCell="D27" sqref="D27"/>
    </sheetView>
  </sheetViews>
  <sheetFormatPr defaultColWidth="9.140625" defaultRowHeight="12.75" x14ac:dyDescent="0.2"/>
  <cols>
    <col min="1" max="1" width="6.85546875" style="5" customWidth="1"/>
    <col min="2" max="2" width="40.7109375" style="5" customWidth="1"/>
    <col min="3" max="3" width="10.85546875" style="5" customWidth="1"/>
    <col min="4" max="4" width="13.5703125" style="5" customWidth="1"/>
    <col min="5" max="5" width="13.5703125" style="46" customWidth="1"/>
    <col min="6" max="6" width="14.85546875" style="5" customWidth="1"/>
    <col min="7" max="7" width="12.28515625" style="5" bestFit="1" customWidth="1"/>
    <col min="8" max="8" width="9.140625" style="5"/>
    <col min="9" max="14" width="9.140625" style="161"/>
    <col min="15" max="15" width="7.7109375" style="5" customWidth="1"/>
    <col min="16" max="16" width="10" style="5" bestFit="1" customWidth="1"/>
    <col min="17" max="17" width="9.140625" style="5"/>
    <col min="18" max="18" width="11.7109375" style="5" bestFit="1" customWidth="1"/>
    <col min="19" max="19" width="11.5703125" style="5" bestFit="1" customWidth="1"/>
    <col min="20" max="16384" width="9.140625" style="5"/>
  </cols>
  <sheetData>
    <row r="1" spans="1:27" ht="15.75" customHeight="1" x14ac:dyDescent="0.2">
      <c r="A1"/>
      <c r="B1" s="190" t="s">
        <v>12</v>
      </c>
      <c r="C1" s="190"/>
      <c r="D1" s="190"/>
      <c r="E1"/>
      <c r="F1" s="74">
        <f>'BID SUMMARY'!F1</f>
        <v>45958</v>
      </c>
      <c r="I1" s="160"/>
      <c r="J1" s="160"/>
      <c r="K1" s="160"/>
      <c r="L1" s="160"/>
      <c r="M1" s="160"/>
      <c r="N1" s="160"/>
    </row>
    <row r="2" spans="1:27" ht="15.75" x14ac:dyDescent="0.2">
      <c r="A2"/>
      <c r="B2" s="186" t="s">
        <v>133</v>
      </c>
      <c r="C2" s="186"/>
      <c r="D2" s="186"/>
      <c r="E2" s="11" t="s">
        <v>0</v>
      </c>
      <c r="F2" s="148">
        <f>'BID SUMMARY'!F2</f>
        <v>337.11</v>
      </c>
    </row>
    <row r="3" spans="1:27" ht="21.75" customHeight="1" x14ac:dyDescent="0.2">
      <c r="G3"/>
      <c r="H3"/>
      <c r="I3" s="62"/>
      <c r="J3" s="62"/>
      <c r="K3" s="62"/>
      <c r="L3" s="62"/>
      <c r="M3" s="62"/>
      <c r="N3" s="62"/>
      <c r="O3"/>
      <c r="P3"/>
      <c r="Q3"/>
      <c r="R3"/>
      <c r="S3"/>
      <c r="T3"/>
      <c r="U3"/>
      <c r="V3"/>
      <c r="W3"/>
      <c r="X3"/>
      <c r="Y3"/>
      <c r="Z3"/>
      <c r="AA3"/>
    </row>
    <row r="4" spans="1:27" ht="24.75" customHeight="1" thickBot="1" x14ac:dyDescent="0.25">
      <c r="A4" s="189" t="s">
        <v>3</v>
      </c>
      <c r="B4" s="189"/>
      <c r="C4" s="189"/>
      <c r="D4" s="189"/>
      <c r="E4" s="189"/>
      <c r="F4" s="40"/>
      <c r="G4"/>
      <c r="H4"/>
      <c r="I4" s="62"/>
      <c r="J4" s="62"/>
      <c r="K4" s="62"/>
      <c r="L4" s="62"/>
      <c r="M4" s="62"/>
      <c r="N4" s="62"/>
      <c r="O4"/>
      <c r="P4"/>
      <c r="Q4"/>
      <c r="R4"/>
      <c r="S4"/>
      <c r="T4"/>
      <c r="U4"/>
      <c r="V4"/>
      <c r="W4"/>
      <c r="X4"/>
      <c r="Y4"/>
      <c r="Z4"/>
      <c r="AA4"/>
    </row>
    <row r="5" spans="1:27" ht="26.25" customHeight="1" thickBot="1" x14ac:dyDescent="0.25">
      <c r="A5" s="64" t="s">
        <v>13</v>
      </c>
      <c r="B5" s="41" t="s">
        <v>14</v>
      </c>
      <c r="C5" s="8" t="s">
        <v>15</v>
      </c>
      <c r="D5" s="9" t="s">
        <v>16</v>
      </c>
      <c r="E5" s="8" t="s">
        <v>17</v>
      </c>
      <c r="F5" s="65" t="s">
        <v>18</v>
      </c>
      <c r="G5"/>
      <c r="H5" t="s">
        <v>178</v>
      </c>
      <c r="I5" s="62" t="s">
        <v>179</v>
      </c>
      <c r="J5" s="62" t="s">
        <v>180</v>
      </c>
      <c r="K5" s="62" t="s">
        <v>181</v>
      </c>
      <c r="L5" s="62" t="s">
        <v>182</v>
      </c>
      <c r="M5" s="62" t="s">
        <v>183</v>
      </c>
      <c r="N5" s="62" t="s">
        <v>185</v>
      </c>
      <c r="O5"/>
      <c r="P5"/>
      <c r="Q5"/>
      <c r="R5"/>
      <c r="S5"/>
      <c r="T5"/>
      <c r="U5"/>
      <c r="V5"/>
      <c r="W5"/>
      <c r="X5"/>
      <c r="Y5"/>
      <c r="Z5"/>
      <c r="AA5"/>
    </row>
    <row r="6" spans="1:27" ht="22.5" customHeight="1" x14ac:dyDescent="0.35">
      <c r="A6" s="68">
        <v>1</v>
      </c>
      <c r="B6" s="88" t="s">
        <v>51</v>
      </c>
      <c r="C6" s="89" t="s">
        <v>24</v>
      </c>
      <c r="D6" s="12">
        <v>661.25</v>
      </c>
      <c r="E6" s="10">
        <v>0</v>
      </c>
      <c r="F6" s="66">
        <f t="shared" ref="F6:F16" si="0">D6*E6</f>
        <v>0</v>
      </c>
      <c r="G6" s="155" t="s">
        <v>142</v>
      </c>
      <c r="H6" s="50"/>
      <c r="I6" s="163"/>
      <c r="J6" s="163"/>
      <c r="K6" s="163"/>
      <c r="L6" s="163"/>
      <c r="M6" s="163"/>
      <c r="N6" s="163"/>
      <c r="O6" s="50"/>
      <c r="P6"/>
      <c r="Q6"/>
      <c r="R6"/>
      <c r="S6"/>
      <c r="T6"/>
      <c r="U6"/>
      <c r="V6"/>
      <c r="W6"/>
      <c r="X6"/>
      <c r="Y6"/>
      <c r="Z6"/>
      <c r="AA6"/>
    </row>
    <row r="7" spans="1:27" ht="22.5" customHeight="1" x14ac:dyDescent="0.35">
      <c r="A7" s="68">
        <f t="shared" ref="A7:A22" si="1">A6+1</f>
        <v>2</v>
      </c>
      <c r="B7" s="88" t="s">
        <v>144</v>
      </c>
      <c r="C7" s="89" t="s">
        <v>24</v>
      </c>
      <c r="D7" s="12">
        <f>O7</f>
        <v>6003</v>
      </c>
      <c r="E7" s="10">
        <v>0</v>
      </c>
      <c r="F7" s="66">
        <f t="shared" si="0"/>
        <v>0</v>
      </c>
      <c r="G7" s="155" t="s">
        <v>142</v>
      </c>
      <c r="H7" s="50">
        <v>1215</v>
      </c>
      <c r="I7" s="163">
        <v>779</v>
      </c>
      <c r="J7" s="163">
        <v>1220</v>
      </c>
      <c r="K7" s="163">
        <v>933</v>
      </c>
      <c r="L7" s="163">
        <v>1383</v>
      </c>
      <c r="M7" s="163">
        <v>473</v>
      </c>
      <c r="O7" s="50">
        <f>SUM(H7:M7)</f>
        <v>6003</v>
      </c>
      <c r="P7"/>
      <c r="Q7"/>
      <c r="R7"/>
      <c r="S7"/>
      <c r="T7"/>
      <c r="U7"/>
      <c r="V7"/>
      <c r="W7"/>
      <c r="X7"/>
      <c r="Y7"/>
      <c r="Z7"/>
      <c r="AA7"/>
    </row>
    <row r="8" spans="1:27" ht="22.5" customHeight="1" x14ac:dyDescent="0.35">
      <c r="A8" s="68">
        <f t="shared" si="1"/>
        <v>3</v>
      </c>
      <c r="B8" s="88" t="s">
        <v>73</v>
      </c>
      <c r="C8" s="89" t="s">
        <v>24</v>
      </c>
      <c r="D8" s="12">
        <f>D6+D7</f>
        <v>6664.25</v>
      </c>
      <c r="E8" s="10">
        <v>0</v>
      </c>
      <c r="F8" s="66">
        <f t="shared" si="0"/>
        <v>0</v>
      </c>
      <c r="G8" s="155" t="s">
        <v>142</v>
      </c>
      <c r="H8" s="50"/>
      <c r="I8" s="163"/>
      <c r="J8" s="163"/>
      <c r="K8" s="163"/>
      <c r="L8" s="163"/>
      <c r="M8" s="163"/>
      <c r="O8" s="50"/>
      <c r="P8"/>
      <c r="Q8"/>
      <c r="R8"/>
      <c r="S8"/>
      <c r="T8"/>
      <c r="U8"/>
      <c r="V8"/>
      <c r="W8"/>
      <c r="X8"/>
      <c r="Y8"/>
      <c r="Z8"/>
      <c r="AA8"/>
    </row>
    <row r="9" spans="1:27" ht="22.5" customHeight="1" x14ac:dyDescent="0.35">
      <c r="A9" s="68">
        <f t="shared" si="1"/>
        <v>4</v>
      </c>
      <c r="B9" s="88" t="s">
        <v>130</v>
      </c>
      <c r="C9" s="89" t="s">
        <v>22</v>
      </c>
      <c r="D9" s="12">
        <v>6</v>
      </c>
      <c r="E9" s="10">
        <v>0</v>
      </c>
      <c r="F9" s="66">
        <f t="shared" si="0"/>
        <v>0</v>
      </c>
      <c r="G9" s="155" t="s">
        <v>142</v>
      </c>
      <c r="H9" s="50"/>
      <c r="I9" s="163"/>
      <c r="J9" s="163"/>
      <c r="K9" s="163"/>
      <c r="L9" s="163"/>
      <c r="M9" s="163"/>
      <c r="O9" s="50"/>
      <c r="P9"/>
      <c r="Q9"/>
      <c r="R9"/>
      <c r="S9"/>
      <c r="T9"/>
      <c r="U9"/>
      <c r="V9"/>
      <c r="W9"/>
      <c r="X9"/>
      <c r="Y9"/>
      <c r="Z9"/>
      <c r="AA9"/>
    </row>
    <row r="10" spans="1:27" ht="22.5" customHeight="1" x14ac:dyDescent="0.35">
      <c r="A10" s="68">
        <f t="shared" si="1"/>
        <v>5</v>
      </c>
      <c r="B10" s="88" t="s">
        <v>145</v>
      </c>
      <c r="C10" s="89" t="s">
        <v>22</v>
      </c>
      <c r="D10" s="12">
        <f>O10</f>
        <v>30</v>
      </c>
      <c r="E10" s="10">
        <v>0</v>
      </c>
      <c r="F10" s="66">
        <f t="shared" si="0"/>
        <v>0</v>
      </c>
      <c r="G10" s="155" t="s">
        <v>142</v>
      </c>
      <c r="H10" s="50">
        <v>6</v>
      </c>
      <c r="I10" s="163">
        <v>6</v>
      </c>
      <c r="J10" s="163">
        <v>6</v>
      </c>
      <c r="K10" s="163">
        <v>5</v>
      </c>
      <c r="L10" s="163">
        <v>4</v>
      </c>
      <c r="M10" s="163">
        <v>3</v>
      </c>
      <c r="O10" s="50">
        <f>SUM(H10:M10)</f>
        <v>30</v>
      </c>
      <c r="P10"/>
      <c r="Q10"/>
      <c r="R10"/>
      <c r="S10"/>
      <c r="T10"/>
      <c r="U10"/>
      <c r="V10"/>
      <c r="W10"/>
      <c r="X10"/>
      <c r="Y10"/>
      <c r="Z10"/>
      <c r="AA10"/>
    </row>
    <row r="11" spans="1:27" ht="22.5" customHeight="1" x14ac:dyDescent="0.35">
      <c r="A11" s="68">
        <f t="shared" si="1"/>
        <v>6</v>
      </c>
      <c r="B11" s="88" t="s">
        <v>146</v>
      </c>
      <c r="C11" s="89" t="s">
        <v>22</v>
      </c>
      <c r="D11" s="12">
        <v>24</v>
      </c>
      <c r="E11" s="10">
        <v>0</v>
      </c>
      <c r="F11" s="66">
        <f t="shared" si="0"/>
        <v>0</v>
      </c>
      <c r="G11" s="155" t="s">
        <v>142</v>
      </c>
      <c r="H11" s="50"/>
      <c r="I11" s="163"/>
      <c r="J11" s="163"/>
      <c r="K11" s="163"/>
      <c r="L11" s="163"/>
      <c r="M11" s="163"/>
      <c r="N11" s="163"/>
      <c r="O11" s="50"/>
      <c r="P11"/>
      <c r="Q11"/>
      <c r="R11"/>
      <c r="S11"/>
      <c r="T11"/>
      <c r="U11"/>
      <c r="V11"/>
      <c r="W11"/>
      <c r="X11"/>
      <c r="Y11"/>
      <c r="Z11"/>
      <c r="AA11"/>
    </row>
    <row r="12" spans="1:27" ht="22.5" customHeight="1" x14ac:dyDescent="0.35">
      <c r="A12" s="68">
        <f t="shared" si="1"/>
        <v>7</v>
      </c>
      <c r="B12" s="88" t="s">
        <v>147</v>
      </c>
      <c r="C12" s="89" t="s">
        <v>22</v>
      </c>
      <c r="D12" s="12">
        <v>1</v>
      </c>
      <c r="E12" s="10">
        <v>0</v>
      </c>
      <c r="F12" s="66">
        <f t="shared" si="0"/>
        <v>0</v>
      </c>
      <c r="G12" s="155" t="s">
        <v>142</v>
      </c>
      <c r="H12" s="50"/>
      <c r="I12" s="163"/>
      <c r="J12" s="163"/>
      <c r="K12" s="163"/>
      <c r="L12" s="163"/>
      <c r="M12" s="163"/>
      <c r="N12" s="163"/>
      <c r="O12" s="50"/>
      <c r="P12"/>
      <c r="Q12"/>
      <c r="R12"/>
      <c r="S12"/>
      <c r="T12"/>
      <c r="U12"/>
      <c r="V12"/>
      <c r="W12"/>
      <c r="X12"/>
      <c r="Y12"/>
      <c r="Z12"/>
      <c r="AA12"/>
    </row>
    <row r="13" spans="1:27" ht="22.5" customHeight="1" x14ac:dyDescent="0.35">
      <c r="A13" s="68">
        <f t="shared" si="1"/>
        <v>8</v>
      </c>
      <c r="B13" s="88" t="s">
        <v>148</v>
      </c>
      <c r="C13" s="89" t="s">
        <v>22</v>
      </c>
      <c r="D13" s="12">
        <v>18</v>
      </c>
      <c r="E13" s="10">
        <v>0</v>
      </c>
      <c r="F13" s="66">
        <f t="shared" ref="F13:F14" si="2">D13*E13</f>
        <v>0</v>
      </c>
      <c r="G13" s="155" t="s">
        <v>142</v>
      </c>
      <c r="H13" s="50"/>
      <c r="I13" s="163"/>
      <c r="J13" s="163"/>
      <c r="K13" s="163"/>
      <c r="L13" s="163"/>
      <c r="M13" s="163"/>
      <c r="N13" s="163"/>
      <c r="O13" s="50"/>
      <c r="P13"/>
      <c r="Q13"/>
      <c r="R13"/>
      <c r="S13"/>
      <c r="T13"/>
      <c r="U13"/>
      <c r="V13"/>
      <c r="W13"/>
      <c r="X13"/>
      <c r="Y13"/>
      <c r="Z13"/>
      <c r="AA13"/>
    </row>
    <row r="14" spans="1:27" ht="22.5" customHeight="1" x14ac:dyDescent="0.35">
      <c r="A14" s="68">
        <f t="shared" si="1"/>
        <v>9</v>
      </c>
      <c r="B14" s="88" t="s">
        <v>149</v>
      </c>
      <c r="C14" s="89" t="s">
        <v>22</v>
      </c>
      <c r="D14" s="12">
        <v>10</v>
      </c>
      <c r="E14" s="10">
        <v>0</v>
      </c>
      <c r="F14" s="66">
        <f t="shared" si="2"/>
        <v>0</v>
      </c>
      <c r="G14" s="155" t="s">
        <v>142</v>
      </c>
      <c r="H14" s="50"/>
      <c r="I14" s="163"/>
      <c r="J14" s="163"/>
      <c r="K14" s="163"/>
      <c r="L14" s="163"/>
      <c r="M14" s="163"/>
      <c r="N14" s="163"/>
      <c r="O14" s="50"/>
      <c r="P14"/>
      <c r="Q14"/>
      <c r="R14"/>
      <c r="S14"/>
      <c r="T14"/>
      <c r="U14"/>
      <c r="V14"/>
      <c r="W14"/>
      <c r="X14"/>
      <c r="Y14"/>
      <c r="Z14"/>
      <c r="AA14"/>
    </row>
    <row r="15" spans="1:27" ht="22.5" customHeight="1" x14ac:dyDescent="0.35">
      <c r="A15" s="68">
        <f t="shared" si="1"/>
        <v>10</v>
      </c>
      <c r="B15" s="88" t="s">
        <v>74</v>
      </c>
      <c r="C15" s="89" t="s">
        <v>22</v>
      </c>
      <c r="D15" s="12">
        <f>(D11*2+D13*2)+D12+D14</f>
        <v>95</v>
      </c>
      <c r="E15" s="10">
        <v>0</v>
      </c>
      <c r="F15" s="66">
        <f t="shared" si="0"/>
        <v>0</v>
      </c>
      <c r="G15" s="155" t="s">
        <v>142</v>
      </c>
      <c r="H15" s="50"/>
      <c r="I15" s="163"/>
      <c r="J15" s="163"/>
      <c r="K15" s="163"/>
      <c r="L15" s="163"/>
      <c r="M15" s="163"/>
      <c r="N15" s="163"/>
      <c r="O15" s="50"/>
      <c r="P15"/>
      <c r="Q15"/>
      <c r="R15"/>
      <c r="S15"/>
      <c r="T15"/>
      <c r="U15"/>
      <c r="V15"/>
      <c r="W15"/>
      <c r="X15"/>
      <c r="Y15"/>
      <c r="Z15"/>
      <c r="AA15"/>
    </row>
    <row r="16" spans="1:27" ht="29.25" customHeight="1" x14ac:dyDescent="0.35">
      <c r="A16" s="68">
        <f t="shared" si="1"/>
        <v>11</v>
      </c>
      <c r="B16" s="91" t="s">
        <v>129</v>
      </c>
      <c r="C16" s="89" t="s">
        <v>22</v>
      </c>
      <c r="D16" s="12">
        <v>13</v>
      </c>
      <c r="E16" s="10">
        <v>0</v>
      </c>
      <c r="F16" s="66">
        <f t="shared" si="0"/>
        <v>0</v>
      </c>
      <c r="G16" s="155" t="s">
        <v>142</v>
      </c>
      <c r="H16" s="50">
        <v>2</v>
      </c>
      <c r="I16" s="163"/>
      <c r="J16" s="163"/>
      <c r="K16" s="163"/>
      <c r="L16" s="163"/>
      <c r="M16" s="163"/>
      <c r="N16" s="163"/>
      <c r="O16" s="50"/>
      <c r="P16"/>
      <c r="Q16"/>
      <c r="R16"/>
      <c r="S16"/>
      <c r="T16"/>
      <c r="U16"/>
      <c r="V16"/>
      <c r="W16"/>
      <c r="X16"/>
      <c r="Y16"/>
      <c r="Z16"/>
      <c r="AA16"/>
    </row>
    <row r="17" spans="1:27" ht="22.5" customHeight="1" x14ac:dyDescent="0.35">
      <c r="A17" s="68">
        <f t="shared" si="1"/>
        <v>12</v>
      </c>
      <c r="B17" s="91" t="s">
        <v>121</v>
      </c>
      <c r="C17" s="89" t="s">
        <v>75</v>
      </c>
      <c r="D17" s="156">
        <v>14.5</v>
      </c>
      <c r="E17" s="10">
        <v>0</v>
      </c>
      <c r="F17" s="66">
        <v>0</v>
      </c>
      <c r="G17" s="155" t="s">
        <v>142</v>
      </c>
      <c r="H17" s="50"/>
      <c r="I17" s="163"/>
      <c r="J17" s="163"/>
      <c r="K17" s="163"/>
      <c r="L17" s="163"/>
      <c r="M17" s="163"/>
      <c r="N17" s="163"/>
      <c r="O17" s="50"/>
      <c r="P17"/>
      <c r="Q17"/>
      <c r="R17"/>
      <c r="S17"/>
      <c r="T17"/>
      <c r="U17"/>
      <c r="V17"/>
      <c r="W17"/>
      <c r="X17"/>
      <c r="Y17"/>
      <c r="Z17"/>
      <c r="AA17"/>
    </row>
    <row r="18" spans="1:27" ht="22.5" customHeight="1" x14ac:dyDescent="0.35">
      <c r="A18" s="68">
        <f t="shared" si="1"/>
        <v>13</v>
      </c>
      <c r="B18" s="88" t="s">
        <v>150</v>
      </c>
      <c r="C18" s="89" t="s">
        <v>22</v>
      </c>
      <c r="D18" s="12">
        <v>7</v>
      </c>
      <c r="E18" s="10">
        <v>0</v>
      </c>
      <c r="F18" s="66">
        <f t="shared" ref="F18:F24" si="3">D18*E18</f>
        <v>0</v>
      </c>
      <c r="G18" s="155" t="s">
        <v>142</v>
      </c>
      <c r="H18" s="50">
        <v>1</v>
      </c>
      <c r="I18" s="163"/>
      <c r="J18" s="163"/>
      <c r="K18" s="163"/>
      <c r="L18" s="163"/>
      <c r="M18" s="163"/>
      <c r="N18" s="163"/>
      <c r="O18" s="50"/>
      <c r="P18"/>
      <c r="Q18"/>
      <c r="R18"/>
      <c r="S18"/>
      <c r="T18"/>
      <c r="U18"/>
      <c r="V18"/>
      <c r="W18"/>
      <c r="X18"/>
      <c r="Y18"/>
      <c r="Z18"/>
      <c r="AA18"/>
    </row>
    <row r="19" spans="1:27" ht="22.5" customHeight="1" x14ac:dyDescent="0.35">
      <c r="A19" s="68">
        <f t="shared" si="1"/>
        <v>14</v>
      </c>
      <c r="B19" s="88" t="s">
        <v>124</v>
      </c>
      <c r="C19" s="89" t="s">
        <v>22</v>
      </c>
      <c r="D19" s="12">
        <v>1</v>
      </c>
      <c r="E19" s="10">
        <v>0</v>
      </c>
      <c r="F19" s="66">
        <f t="shared" ref="F19" si="4">D19*E19</f>
        <v>0</v>
      </c>
      <c r="G19" s="155" t="s">
        <v>142</v>
      </c>
      <c r="H19" s="50">
        <v>1</v>
      </c>
      <c r="I19" s="163"/>
      <c r="J19" s="163"/>
      <c r="K19" s="163"/>
      <c r="L19" s="163"/>
      <c r="M19" s="163"/>
      <c r="N19" s="163"/>
      <c r="O19" s="50"/>
      <c r="P19"/>
      <c r="Q19"/>
      <c r="R19"/>
      <c r="S19"/>
      <c r="T19"/>
      <c r="U19"/>
      <c r="V19"/>
      <c r="W19"/>
      <c r="X19"/>
      <c r="Y19"/>
      <c r="Z19"/>
      <c r="AA19"/>
    </row>
    <row r="20" spans="1:27" ht="22.5" customHeight="1" x14ac:dyDescent="0.35">
      <c r="A20" s="68">
        <f t="shared" si="1"/>
        <v>15</v>
      </c>
      <c r="B20" s="88" t="s">
        <v>151</v>
      </c>
      <c r="C20" s="89" t="s">
        <v>22</v>
      </c>
      <c r="D20" s="12">
        <v>3</v>
      </c>
      <c r="E20" s="10">
        <v>0</v>
      </c>
      <c r="F20" s="66">
        <f t="shared" ref="F20" si="5">D20*E20</f>
        <v>0</v>
      </c>
      <c r="G20" s="155" t="s">
        <v>142</v>
      </c>
      <c r="H20" s="50">
        <v>1</v>
      </c>
      <c r="I20" s="163"/>
      <c r="J20" s="163"/>
      <c r="K20" s="163"/>
      <c r="L20" s="163"/>
      <c r="M20" s="163"/>
      <c r="N20" s="163"/>
      <c r="O20" s="50"/>
      <c r="P20"/>
      <c r="Q20"/>
      <c r="R20"/>
      <c r="S20"/>
      <c r="T20"/>
      <c r="U20"/>
      <c r="V20"/>
      <c r="W20"/>
      <c r="X20"/>
      <c r="Y20"/>
      <c r="Z20"/>
      <c r="AA20"/>
    </row>
    <row r="21" spans="1:27" ht="22.5" customHeight="1" x14ac:dyDescent="0.35">
      <c r="A21" s="68">
        <f>A20+1</f>
        <v>16</v>
      </c>
      <c r="B21" s="91" t="s">
        <v>122</v>
      </c>
      <c r="C21" s="89" t="s">
        <v>22</v>
      </c>
      <c r="D21" s="12">
        <v>1</v>
      </c>
      <c r="E21" s="10">
        <v>0</v>
      </c>
      <c r="F21" s="66">
        <f t="shared" si="3"/>
        <v>0</v>
      </c>
      <c r="G21" s="155" t="s">
        <v>142</v>
      </c>
      <c r="H21" s="50"/>
      <c r="I21" s="163"/>
      <c r="J21" s="163"/>
      <c r="K21" s="163"/>
      <c r="L21" s="163"/>
      <c r="M21" s="163"/>
      <c r="N21" s="163"/>
      <c r="O21" s="50"/>
      <c r="P21"/>
      <c r="Q21"/>
      <c r="R21"/>
      <c r="S21"/>
      <c r="T21"/>
      <c r="U21"/>
      <c r="V21"/>
      <c r="W21"/>
      <c r="X21"/>
      <c r="Y21"/>
      <c r="Z21"/>
      <c r="AA21"/>
    </row>
    <row r="22" spans="1:27" ht="22.5" customHeight="1" x14ac:dyDescent="0.35">
      <c r="A22" s="68">
        <f t="shared" si="1"/>
        <v>17</v>
      </c>
      <c r="B22" s="91" t="s">
        <v>123</v>
      </c>
      <c r="C22" s="89" t="s">
        <v>24</v>
      </c>
      <c r="D22" s="12">
        <f>D7+D6</f>
        <v>6664.25</v>
      </c>
      <c r="E22" s="10">
        <v>0</v>
      </c>
      <c r="F22" s="66">
        <f t="shared" si="3"/>
        <v>0</v>
      </c>
      <c r="G22" s="155" t="s">
        <v>142</v>
      </c>
      <c r="H22" s="50"/>
      <c r="I22" s="163"/>
      <c r="J22" s="163"/>
      <c r="K22" s="163"/>
      <c r="L22" s="163"/>
      <c r="M22" s="163"/>
      <c r="N22" s="163"/>
      <c r="O22" s="50"/>
      <c r="P22"/>
      <c r="Q22"/>
      <c r="R22"/>
      <c r="S22"/>
      <c r="T22"/>
      <c r="U22"/>
      <c r="V22"/>
      <c r="W22"/>
      <c r="X22"/>
      <c r="Y22"/>
      <c r="Z22"/>
      <c r="AA22"/>
    </row>
    <row r="23" spans="1:27" ht="22.5" customHeight="1" x14ac:dyDescent="0.35">
      <c r="A23" s="68">
        <f>A22+1</f>
        <v>18</v>
      </c>
      <c r="B23" s="91" t="s">
        <v>186</v>
      </c>
      <c r="C23" s="89" t="s">
        <v>24</v>
      </c>
      <c r="D23" s="12">
        <f>O23</f>
        <v>162</v>
      </c>
      <c r="E23" s="10">
        <v>0</v>
      </c>
      <c r="F23" s="66">
        <f t="shared" ref="F23" si="6">D23*E23</f>
        <v>0</v>
      </c>
      <c r="G23" s="155" t="s">
        <v>142</v>
      </c>
      <c r="H23" s="164"/>
      <c r="I23" s="163"/>
      <c r="J23" s="163"/>
      <c r="K23" s="163"/>
      <c r="L23" s="163"/>
      <c r="M23" s="163"/>
      <c r="N23" s="163">
        <f>57+56+49</f>
        <v>162</v>
      </c>
      <c r="O23" s="50">
        <f>SUM(H23:N23)</f>
        <v>162</v>
      </c>
      <c r="P23"/>
      <c r="Q23"/>
      <c r="R23"/>
      <c r="S23"/>
      <c r="T23"/>
      <c r="U23"/>
      <c r="V23"/>
      <c r="W23"/>
      <c r="X23"/>
      <c r="Y23"/>
      <c r="Z23"/>
      <c r="AA23"/>
    </row>
    <row r="24" spans="1:27" ht="22.5" customHeight="1" x14ac:dyDescent="0.35">
      <c r="A24" s="68">
        <f>A23+1</f>
        <v>19</v>
      </c>
      <c r="B24" s="91" t="s">
        <v>187</v>
      </c>
      <c r="C24" s="89" t="s">
        <v>24</v>
      </c>
      <c r="D24" s="12">
        <f>O24</f>
        <v>528</v>
      </c>
      <c r="E24" s="10">
        <v>0</v>
      </c>
      <c r="F24" s="66">
        <f t="shared" si="3"/>
        <v>0</v>
      </c>
      <c r="G24" s="155" t="s">
        <v>142</v>
      </c>
      <c r="H24" s="164">
        <v>40</v>
      </c>
      <c r="I24" s="163">
        <f>120+20</f>
        <v>140</v>
      </c>
      <c r="J24" s="163">
        <f>57+63</f>
        <v>120</v>
      </c>
      <c r="K24" s="163">
        <f>57</f>
        <v>57</v>
      </c>
      <c r="L24" s="163">
        <v>117</v>
      </c>
      <c r="M24" s="163">
        <f>54</f>
        <v>54</v>
      </c>
      <c r="N24" s="163"/>
      <c r="O24" s="50">
        <f t="shared" ref="O24:O26" si="7">SUM(H24:N24)</f>
        <v>528</v>
      </c>
      <c r="P24"/>
      <c r="Q24"/>
      <c r="R24"/>
      <c r="S24"/>
      <c r="T24"/>
      <c r="U24"/>
      <c r="V24"/>
      <c r="W24"/>
      <c r="X24"/>
      <c r="Y24"/>
      <c r="Z24"/>
      <c r="AA24"/>
    </row>
    <row r="25" spans="1:27" ht="22.5" customHeight="1" x14ac:dyDescent="0.35">
      <c r="A25" s="68">
        <f>A24+1</f>
        <v>20</v>
      </c>
      <c r="B25" s="91" t="s">
        <v>153</v>
      </c>
      <c r="C25" s="89" t="s">
        <v>24</v>
      </c>
      <c r="D25" s="12">
        <f>O25</f>
        <v>80</v>
      </c>
      <c r="E25" s="10">
        <v>0</v>
      </c>
      <c r="F25" s="66">
        <f t="shared" ref="F25" si="8">D25*E25</f>
        <v>0</v>
      </c>
      <c r="G25" s="155"/>
      <c r="H25" s="164"/>
      <c r="I25" s="163"/>
      <c r="J25" s="163"/>
      <c r="K25" s="163"/>
      <c r="L25" s="163"/>
      <c r="M25" s="163">
        <v>80</v>
      </c>
      <c r="N25" s="163"/>
      <c r="O25" s="50">
        <f t="shared" si="7"/>
        <v>80</v>
      </c>
      <c r="P25"/>
      <c r="Q25"/>
      <c r="R25"/>
      <c r="S25"/>
      <c r="T25"/>
      <c r="U25"/>
      <c r="V25"/>
      <c r="W25"/>
      <c r="X25"/>
      <c r="Y25"/>
      <c r="Z25"/>
      <c r="AA25"/>
    </row>
    <row r="26" spans="1:27" ht="22.5" customHeight="1" thickBot="1" x14ac:dyDescent="0.4">
      <c r="A26" s="147">
        <v>21</v>
      </c>
      <c r="B26" s="92" t="s">
        <v>152</v>
      </c>
      <c r="C26" s="93" t="s">
        <v>24</v>
      </c>
      <c r="D26" s="108">
        <f>O26</f>
        <v>60</v>
      </c>
      <c r="E26" s="22">
        <v>0</v>
      </c>
      <c r="F26" s="109">
        <f t="shared" ref="F26" si="9">D26*E26</f>
        <v>0</v>
      </c>
      <c r="G26" s="155" t="s">
        <v>142</v>
      </c>
      <c r="H26" s="164"/>
      <c r="I26" s="163">
        <v>60</v>
      </c>
      <c r="J26" s="163"/>
      <c r="K26" s="163"/>
      <c r="L26" s="163"/>
      <c r="M26" s="163"/>
      <c r="N26" s="163"/>
      <c r="O26" s="50">
        <f t="shared" si="7"/>
        <v>60</v>
      </c>
      <c r="P26"/>
      <c r="Q26"/>
      <c r="R26"/>
      <c r="S26"/>
      <c r="T26"/>
      <c r="U26"/>
      <c r="V26"/>
      <c r="W26"/>
      <c r="X26"/>
      <c r="Y26"/>
      <c r="Z26"/>
      <c r="AA26"/>
    </row>
    <row r="27" spans="1:27" ht="22.5" customHeight="1" x14ac:dyDescent="0.35">
      <c r="A27" s="31"/>
      <c r="E27" s="45" t="s">
        <v>20</v>
      </c>
      <c r="F27" s="10">
        <f>SUM(F6:F26)</f>
        <v>0</v>
      </c>
      <c r="G27"/>
      <c r="H27" s="164"/>
      <c r="I27" s="163"/>
      <c r="J27" s="163"/>
      <c r="K27" s="163"/>
      <c r="L27" s="163"/>
      <c r="M27" s="163"/>
      <c r="N27" s="163"/>
      <c r="O27" s="50"/>
      <c r="P27"/>
      <c r="Q27"/>
      <c r="R27"/>
      <c r="S27"/>
      <c r="T27"/>
      <c r="U27"/>
      <c r="V27"/>
      <c r="W27"/>
      <c r="X27"/>
      <c r="Y27"/>
      <c r="Z27"/>
      <c r="AA27"/>
    </row>
    <row r="28" spans="1:27" ht="14.25" customHeight="1" x14ac:dyDescent="0.2">
      <c r="A28" s="31"/>
      <c r="G28"/>
      <c r="H28" s="50"/>
      <c r="I28" s="163"/>
      <c r="J28" s="163"/>
      <c r="K28" s="163"/>
      <c r="L28" s="163"/>
      <c r="M28" s="163"/>
      <c r="N28" s="163"/>
      <c r="O28" s="50"/>
      <c r="P28"/>
      <c r="Q28"/>
      <c r="R28"/>
      <c r="S28"/>
      <c r="T28"/>
      <c r="U28"/>
      <c r="V28"/>
      <c r="W28"/>
      <c r="X28"/>
      <c r="Y28"/>
      <c r="Z28"/>
      <c r="AA28"/>
    </row>
    <row r="29" spans="1:27" ht="53.25" customHeight="1" x14ac:dyDescent="0.2">
      <c r="A29" s="35" t="s">
        <v>48</v>
      </c>
      <c r="B29" s="194" t="s">
        <v>8</v>
      </c>
      <c r="C29" s="194"/>
      <c r="D29" s="194"/>
      <c r="E29" s="194"/>
      <c r="F29" s="194"/>
      <c r="G29"/>
      <c r="H29"/>
      <c r="I29" s="62"/>
      <c r="J29" s="62"/>
      <c r="K29" s="62"/>
      <c r="L29" s="62"/>
      <c r="M29" s="62"/>
      <c r="N29" s="62"/>
      <c r="O29"/>
      <c r="P29"/>
      <c r="Q29"/>
      <c r="R29"/>
      <c r="S29"/>
      <c r="T29"/>
      <c r="U29"/>
      <c r="V29"/>
      <c r="W29"/>
      <c r="X29"/>
      <c r="Y29"/>
      <c r="Z29"/>
      <c r="AA29"/>
    </row>
    <row r="30" spans="1:27" ht="88.5" customHeight="1" x14ac:dyDescent="0.2">
      <c r="A30" s="35" t="s">
        <v>48</v>
      </c>
      <c r="B30" s="194" t="s">
        <v>9</v>
      </c>
      <c r="C30" s="194"/>
      <c r="D30" s="194"/>
      <c r="E30" s="194"/>
      <c r="F30" s="194"/>
      <c r="G30"/>
      <c r="H30"/>
      <c r="I30" s="62"/>
      <c r="J30" s="62"/>
      <c r="K30" s="62"/>
      <c r="L30" s="62"/>
      <c r="M30" s="62"/>
      <c r="N30" s="62"/>
      <c r="O30"/>
      <c r="P30"/>
      <c r="Q30"/>
      <c r="R30"/>
      <c r="S30"/>
      <c r="T30"/>
      <c r="U30"/>
      <c r="V30"/>
      <c r="W30"/>
      <c r="X30"/>
      <c r="Y30"/>
      <c r="Z30"/>
      <c r="AA30"/>
    </row>
    <row r="31" spans="1:27" ht="21.75" customHeight="1" x14ac:dyDescent="0.2">
      <c r="A31" s="31"/>
      <c r="B31" s="76"/>
      <c r="C31" s="69"/>
      <c r="D31" s="69"/>
      <c r="E31" s="31" t="s">
        <v>10</v>
      </c>
      <c r="F31" s="2"/>
      <c r="G31"/>
      <c r="H31"/>
      <c r="I31" s="62"/>
      <c r="J31" s="62"/>
      <c r="K31" s="62"/>
      <c r="L31" s="62"/>
      <c r="M31" s="62"/>
      <c r="N31" s="62"/>
      <c r="O31"/>
      <c r="P31"/>
      <c r="Q31"/>
      <c r="R31"/>
      <c r="S31"/>
      <c r="T31"/>
      <c r="U31"/>
      <c r="V31"/>
      <c r="W31"/>
      <c r="X31"/>
      <c r="Y31"/>
      <c r="Z31"/>
      <c r="AA31"/>
    </row>
    <row r="32" spans="1:27" customFormat="1" ht="21.75" customHeight="1" x14ac:dyDescent="0.2">
      <c r="E32" s="31" t="s">
        <v>11</v>
      </c>
      <c r="F32" s="3"/>
      <c r="I32" s="62"/>
      <c r="J32" s="62"/>
      <c r="K32" s="62"/>
      <c r="L32" s="62"/>
      <c r="M32" s="62"/>
      <c r="N32" s="62"/>
    </row>
    <row r="33" spans="5:27" customFormat="1" ht="22.5" customHeight="1" x14ac:dyDescent="0.2">
      <c r="E33" s="46"/>
      <c r="F33" s="5"/>
      <c r="I33" s="62"/>
      <c r="J33" s="62"/>
      <c r="K33" s="62"/>
      <c r="L33" s="62"/>
      <c r="M33" s="62"/>
      <c r="N33" s="62"/>
    </row>
    <row r="34" spans="5:27" x14ac:dyDescent="0.2">
      <c r="G34"/>
      <c r="H34"/>
      <c r="I34" s="62"/>
      <c r="J34" s="62"/>
      <c r="K34" s="62"/>
      <c r="L34" s="62"/>
      <c r="M34" s="62"/>
      <c r="N34" s="62"/>
      <c r="O34"/>
      <c r="P34"/>
      <c r="Q34"/>
      <c r="R34"/>
      <c r="S34"/>
      <c r="T34"/>
      <c r="U34"/>
      <c r="V34"/>
      <c r="W34"/>
      <c r="X34"/>
      <c r="Y34"/>
      <c r="Z34"/>
      <c r="AA34"/>
    </row>
    <row r="35" spans="5:27" x14ac:dyDescent="0.2">
      <c r="G35"/>
      <c r="H35"/>
      <c r="I35" s="62"/>
      <c r="J35" s="62"/>
      <c r="K35" s="62"/>
      <c r="L35" s="62"/>
      <c r="M35" s="62"/>
      <c r="N35" s="62"/>
      <c r="O35"/>
      <c r="P35"/>
      <c r="Q35"/>
      <c r="R35"/>
      <c r="S35"/>
      <c r="T35"/>
      <c r="U35"/>
      <c r="V35"/>
      <c r="W35"/>
      <c r="X35"/>
      <c r="Y35"/>
      <c r="Z35"/>
      <c r="AA35"/>
    </row>
    <row r="36" spans="5:27" x14ac:dyDescent="0.2">
      <c r="G36"/>
      <c r="H36"/>
      <c r="I36" s="62"/>
      <c r="J36" s="62"/>
      <c r="K36" s="62"/>
      <c r="L36" s="62"/>
      <c r="M36" s="62"/>
      <c r="N36" s="62"/>
      <c r="O36"/>
      <c r="P36"/>
      <c r="Q36"/>
      <c r="R36"/>
      <c r="S36"/>
      <c r="T36"/>
      <c r="U36"/>
      <c r="V36"/>
      <c r="W36"/>
      <c r="X36"/>
      <c r="Y36"/>
      <c r="Z36"/>
      <c r="AA36"/>
    </row>
    <row r="37" spans="5:27" x14ac:dyDescent="0.2">
      <c r="G37"/>
      <c r="H37"/>
      <c r="I37" s="62"/>
      <c r="J37" s="62"/>
      <c r="K37" s="62"/>
      <c r="L37" s="62"/>
      <c r="M37" s="62"/>
      <c r="N37" s="62"/>
      <c r="O37"/>
      <c r="P37"/>
      <c r="Q37"/>
      <c r="R37"/>
      <c r="S37"/>
      <c r="T37"/>
      <c r="U37"/>
      <c r="V37"/>
      <c r="W37"/>
      <c r="X37"/>
      <c r="Y37"/>
      <c r="Z37"/>
      <c r="AA37"/>
    </row>
    <row r="38" spans="5:27" x14ac:dyDescent="0.2">
      <c r="G38"/>
      <c r="H38"/>
      <c r="I38" s="62"/>
      <c r="J38" s="62"/>
      <c r="K38" s="62"/>
      <c r="L38" s="62"/>
      <c r="M38" s="62"/>
      <c r="N38" s="62"/>
      <c r="O38"/>
      <c r="P38"/>
      <c r="Q38"/>
      <c r="R38"/>
      <c r="S38"/>
      <c r="T38"/>
      <c r="U38"/>
      <c r="V38"/>
      <c r="W38"/>
      <c r="X38"/>
      <c r="Y38"/>
      <c r="Z38"/>
      <c r="AA38"/>
    </row>
    <row r="39" spans="5:27" x14ac:dyDescent="0.2">
      <c r="G39"/>
      <c r="H39"/>
      <c r="I39" s="62"/>
      <c r="J39" s="62"/>
      <c r="K39" s="62"/>
      <c r="L39" s="62"/>
      <c r="M39" s="62"/>
      <c r="N39" s="62"/>
      <c r="O39"/>
      <c r="P39"/>
      <c r="Q39"/>
      <c r="R39"/>
      <c r="S39"/>
      <c r="T39"/>
      <c r="U39"/>
      <c r="V39"/>
      <c r="W39"/>
      <c r="X39"/>
      <c r="Y39"/>
      <c r="Z39"/>
      <c r="AA39"/>
    </row>
    <row r="40" spans="5:27" x14ac:dyDescent="0.2">
      <c r="G40"/>
      <c r="H40"/>
      <c r="I40" s="62"/>
      <c r="J40" s="62"/>
      <c r="K40" s="62"/>
      <c r="L40" s="62"/>
      <c r="M40" s="62"/>
      <c r="N40" s="62"/>
      <c r="O40"/>
      <c r="P40"/>
      <c r="Q40"/>
      <c r="R40"/>
      <c r="S40"/>
      <c r="T40"/>
      <c r="U40"/>
      <c r="V40"/>
      <c r="W40"/>
      <c r="X40"/>
      <c r="Y40"/>
      <c r="Z40"/>
      <c r="AA40"/>
    </row>
    <row r="41" spans="5:27" x14ac:dyDescent="0.2">
      <c r="G41"/>
      <c r="H41"/>
      <c r="I41" s="62"/>
      <c r="J41" s="62"/>
      <c r="K41" s="62"/>
      <c r="L41" s="62"/>
      <c r="M41" s="62"/>
      <c r="N41" s="62"/>
      <c r="O41"/>
      <c r="P41"/>
      <c r="Q41"/>
      <c r="R41"/>
      <c r="S41"/>
      <c r="T41"/>
      <c r="U41"/>
      <c r="V41"/>
      <c r="W41"/>
      <c r="X41"/>
      <c r="Y41"/>
      <c r="Z41"/>
      <c r="AA41"/>
    </row>
    <row r="42" spans="5:27" x14ac:dyDescent="0.2">
      <c r="K42" s="161">
        <v>22.5</v>
      </c>
      <c r="L42" s="161">
        <v>1</v>
      </c>
      <c r="N42" s="161">
        <v>22.5</v>
      </c>
    </row>
    <row r="43" spans="5:27" x14ac:dyDescent="0.2">
      <c r="K43" s="161">
        <v>45</v>
      </c>
      <c r="L43" s="161">
        <v>2</v>
      </c>
      <c r="N43" s="161">
        <v>45</v>
      </c>
      <c r="O43" s="5">
        <v>4</v>
      </c>
    </row>
    <row r="44" spans="5:27" x14ac:dyDescent="0.2">
      <c r="K44" s="161">
        <v>90</v>
      </c>
      <c r="N44" s="161">
        <v>90</v>
      </c>
      <c r="O44" s="5">
        <v>1</v>
      </c>
    </row>
    <row r="45" spans="5:27" x14ac:dyDescent="0.2">
      <c r="K45" s="162" t="s">
        <v>44</v>
      </c>
      <c r="L45" s="161">
        <v>3</v>
      </c>
      <c r="N45" s="162" t="s">
        <v>44</v>
      </c>
      <c r="O45" s="5">
        <v>3</v>
      </c>
    </row>
    <row r="46" spans="5:27" x14ac:dyDescent="0.2">
      <c r="K46" s="162" t="s">
        <v>43</v>
      </c>
      <c r="N46" s="162" t="s">
        <v>43</v>
      </c>
      <c r="O46" s="5">
        <v>1</v>
      </c>
    </row>
    <row r="47" spans="5:27" x14ac:dyDescent="0.2">
      <c r="N47" s="162" t="s">
        <v>45</v>
      </c>
      <c r="O47" s="5">
        <v>5</v>
      </c>
    </row>
    <row r="48" spans="5:27" x14ac:dyDescent="0.2">
      <c r="N48" s="162" t="s">
        <v>46</v>
      </c>
      <c r="O48" s="5">
        <v>1</v>
      </c>
    </row>
  </sheetData>
  <mergeCells count="5">
    <mergeCell ref="B30:F30"/>
    <mergeCell ref="A4:E4"/>
    <mergeCell ref="B1:D1"/>
    <mergeCell ref="B2:D2"/>
    <mergeCell ref="B29:F29"/>
  </mergeCells>
  <phoneticPr fontId="22" type="noConversion"/>
  <pageMargins left="0.56000000000000005" right="0.2" top="0.52" bottom="0.25" header="0.5" footer="0.35"/>
  <pageSetup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4"/>
  <sheetViews>
    <sheetView view="pageBreakPreview" zoomScale="130" zoomScaleNormal="100" zoomScaleSheetLayoutView="130" workbookViewId="0">
      <selection activeCell="C5" sqref="C5"/>
    </sheetView>
  </sheetViews>
  <sheetFormatPr defaultRowHeight="12.75" x14ac:dyDescent="0.2"/>
  <cols>
    <col min="1" max="1" width="6.7109375" customWidth="1"/>
    <col min="2" max="2" width="51" bestFit="1" customWidth="1"/>
    <col min="3" max="3" width="10.85546875" customWidth="1"/>
    <col min="4" max="4" width="13.42578125" customWidth="1"/>
    <col min="5" max="5" width="13.5703125" style="4" customWidth="1"/>
    <col min="6" max="6" width="15" customWidth="1"/>
    <col min="7" max="7" width="12.28515625" bestFit="1" customWidth="1"/>
    <col min="10" max="10" width="13.5703125" bestFit="1" customWidth="1"/>
    <col min="11" max="12" width="11.7109375" bestFit="1" customWidth="1"/>
    <col min="15" max="15" width="12.7109375" bestFit="1" customWidth="1"/>
    <col min="16" max="16" width="17" bestFit="1" customWidth="1"/>
    <col min="18" max="18" width="10.85546875" bestFit="1" customWidth="1"/>
    <col min="19" max="19" width="15.7109375" bestFit="1" customWidth="1"/>
    <col min="20" max="20" width="12" bestFit="1" customWidth="1"/>
    <col min="21" max="21" width="27.7109375" bestFit="1" customWidth="1"/>
  </cols>
  <sheetData>
    <row r="1" spans="1:8" ht="15.75" customHeight="1" x14ac:dyDescent="0.2">
      <c r="B1" s="190" t="s">
        <v>12</v>
      </c>
      <c r="C1" s="190"/>
      <c r="D1" s="190"/>
      <c r="E1"/>
      <c r="F1" s="74">
        <f>'BID SUMMARY'!F1</f>
        <v>45958</v>
      </c>
    </row>
    <row r="2" spans="1:8" ht="15.75" x14ac:dyDescent="0.2">
      <c r="B2" s="186" t="s">
        <v>133</v>
      </c>
      <c r="C2" s="186"/>
      <c r="D2" s="186"/>
      <c r="E2" s="11" t="s">
        <v>0</v>
      </c>
      <c r="F2" s="148">
        <f>'BID SUMMARY'!F2</f>
        <v>337.11</v>
      </c>
    </row>
    <row r="3" spans="1:8" ht="22.5" customHeight="1" x14ac:dyDescent="0.25">
      <c r="B3" s="48"/>
      <c r="C3" s="56"/>
      <c r="D3" s="56"/>
      <c r="E3"/>
    </row>
    <row r="4" spans="1:8" ht="21.75" customHeight="1" thickBot="1" x14ac:dyDescent="0.25">
      <c r="A4" s="193" t="s">
        <v>4</v>
      </c>
      <c r="B4" s="193"/>
      <c r="C4" s="193"/>
      <c r="D4" s="193"/>
      <c r="E4" s="193"/>
      <c r="F4" s="54"/>
    </row>
    <row r="5" spans="1:8" ht="26.25" customHeight="1" thickBot="1" x14ac:dyDescent="0.25">
      <c r="A5" s="64" t="s">
        <v>13</v>
      </c>
      <c r="B5" s="41" t="s">
        <v>14</v>
      </c>
      <c r="C5" s="8" t="s">
        <v>15</v>
      </c>
      <c r="D5" s="9" t="s">
        <v>16</v>
      </c>
      <c r="E5" s="8" t="s">
        <v>17</v>
      </c>
      <c r="F5" s="65" t="s">
        <v>18</v>
      </c>
    </row>
    <row r="6" spans="1:8" ht="22.5" customHeight="1" x14ac:dyDescent="0.35">
      <c r="A6" s="81" t="s">
        <v>52</v>
      </c>
      <c r="B6" s="79"/>
      <c r="C6" s="80"/>
      <c r="D6" s="82"/>
      <c r="E6" s="71"/>
      <c r="F6" s="72"/>
    </row>
    <row r="7" spans="1:8" ht="22.5" customHeight="1" x14ac:dyDescent="0.35">
      <c r="A7" s="68">
        <v>1</v>
      </c>
      <c r="B7" s="85" t="s">
        <v>53</v>
      </c>
      <c r="C7" s="7" t="s">
        <v>19</v>
      </c>
      <c r="D7" s="7">
        <v>2306</v>
      </c>
      <c r="E7" s="10">
        <v>0</v>
      </c>
      <c r="F7" s="66">
        <f>D7*E7</f>
        <v>0</v>
      </c>
      <c r="G7" s="5" t="s">
        <v>132</v>
      </c>
    </row>
    <row r="8" spans="1:8" ht="22.5" customHeight="1" x14ac:dyDescent="0.35">
      <c r="A8" s="68">
        <f>A7+1</f>
        <v>2</v>
      </c>
      <c r="B8" s="85" t="s">
        <v>54</v>
      </c>
      <c r="C8" s="7" t="s">
        <v>19</v>
      </c>
      <c r="D8" s="7">
        <v>6081</v>
      </c>
      <c r="E8" s="10">
        <v>0</v>
      </c>
      <c r="F8" s="66">
        <f t="shared" ref="F8:F16" si="0">D8*E8</f>
        <v>0</v>
      </c>
      <c r="G8" s="5" t="s">
        <v>132</v>
      </c>
    </row>
    <row r="9" spans="1:8" ht="22.5" customHeight="1" x14ac:dyDescent="0.35">
      <c r="A9" s="68">
        <f t="shared" ref="A9:A10" si="1">A8+1</f>
        <v>3</v>
      </c>
      <c r="B9" s="85" t="s">
        <v>229</v>
      </c>
      <c r="C9" s="7" t="s">
        <v>94</v>
      </c>
      <c r="D9" s="143">
        <v>6.66</v>
      </c>
      <c r="E9" s="10">
        <v>0</v>
      </c>
      <c r="F9" s="66">
        <f t="shared" si="0"/>
        <v>0</v>
      </c>
      <c r="G9" s="5" t="s">
        <v>132</v>
      </c>
    </row>
    <row r="10" spans="1:8" ht="22.5" customHeight="1" x14ac:dyDescent="0.35">
      <c r="A10" s="68">
        <f t="shared" si="1"/>
        <v>4</v>
      </c>
      <c r="B10" s="85" t="s">
        <v>230</v>
      </c>
      <c r="C10" s="7" t="s">
        <v>94</v>
      </c>
      <c r="D10" s="143">
        <v>6.66</v>
      </c>
      <c r="E10" s="10">
        <v>0</v>
      </c>
      <c r="F10" s="66">
        <f t="shared" si="0"/>
        <v>0</v>
      </c>
      <c r="G10" s="5" t="s">
        <v>132</v>
      </c>
    </row>
    <row r="11" spans="1:8" ht="22.5" customHeight="1" x14ac:dyDescent="0.35">
      <c r="A11" s="73" t="s">
        <v>154</v>
      </c>
      <c r="B11" s="85"/>
      <c r="C11" s="7"/>
      <c r="D11" s="86"/>
      <c r="E11"/>
      <c r="F11" s="66"/>
    </row>
    <row r="12" spans="1:8" ht="22.5" customHeight="1" x14ac:dyDescent="0.35">
      <c r="A12" s="68">
        <f>A10+1</f>
        <v>5</v>
      </c>
      <c r="B12" s="85" t="s">
        <v>155</v>
      </c>
      <c r="C12" s="7" t="s">
        <v>24</v>
      </c>
      <c r="D12" s="7">
        <f>H12</f>
        <v>270</v>
      </c>
      <c r="E12" s="10">
        <v>0</v>
      </c>
      <c r="F12" s="66">
        <f t="shared" si="0"/>
        <v>0</v>
      </c>
      <c r="G12" s="5" t="s">
        <v>132</v>
      </c>
      <c r="H12">
        <f>235+10+25</f>
        <v>270</v>
      </c>
    </row>
    <row r="13" spans="1:8" ht="22.5" customHeight="1" x14ac:dyDescent="0.35">
      <c r="A13" s="68">
        <f>A12+1</f>
        <v>6</v>
      </c>
      <c r="B13" s="85" t="s">
        <v>156</v>
      </c>
      <c r="C13" s="7" t="s">
        <v>24</v>
      </c>
      <c r="D13" s="7">
        <f>H13</f>
        <v>113</v>
      </c>
      <c r="E13" s="10">
        <v>0</v>
      </c>
      <c r="F13" s="66">
        <f t="shared" ref="F13" si="2">D13*E13</f>
        <v>0</v>
      </c>
      <c r="G13" s="5" t="s">
        <v>132</v>
      </c>
      <c r="H13">
        <f>36+77</f>
        <v>113</v>
      </c>
    </row>
    <row r="14" spans="1:8" ht="22.5" customHeight="1" x14ac:dyDescent="0.35">
      <c r="A14" s="68">
        <f>A13+1</f>
        <v>7</v>
      </c>
      <c r="B14" s="85" t="s">
        <v>161</v>
      </c>
      <c r="C14" s="7" t="s">
        <v>22</v>
      </c>
      <c r="D14" s="7">
        <v>1</v>
      </c>
      <c r="E14" s="10">
        <v>0</v>
      </c>
      <c r="F14" s="66">
        <f t="shared" ref="F14" si="3">D14*E14</f>
        <v>0</v>
      </c>
      <c r="G14" s="5" t="s">
        <v>132</v>
      </c>
    </row>
    <row r="15" spans="1:8" ht="22.5" customHeight="1" x14ac:dyDescent="0.35">
      <c r="A15" s="68">
        <f t="shared" ref="A15:A18" si="4">A14+1</f>
        <v>8</v>
      </c>
      <c r="B15" s="85" t="s">
        <v>157</v>
      </c>
      <c r="C15" s="7" t="s">
        <v>22</v>
      </c>
      <c r="D15" s="7">
        <v>2</v>
      </c>
      <c r="E15" s="10">
        <v>0</v>
      </c>
      <c r="F15" s="66">
        <f t="shared" ref="F15" si="5">D15*E15</f>
        <v>0</v>
      </c>
      <c r="G15" s="5" t="s">
        <v>132</v>
      </c>
    </row>
    <row r="16" spans="1:8" ht="22.5" customHeight="1" x14ac:dyDescent="0.35">
      <c r="A16" s="68">
        <f t="shared" si="4"/>
        <v>9</v>
      </c>
      <c r="B16" s="85" t="s">
        <v>158</v>
      </c>
      <c r="C16" s="7" t="s">
        <v>22</v>
      </c>
      <c r="D16" s="7">
        <v>2</v>
      </c>
      <c r="E16" s="10">
        <v>0</v>
      </c>
      <c r="F16" s="66">
        <f t="shared" si="0"/>
        <v>0</v>
      </c>
      <c r="G16" s="5" t="s">
        <v>132</v>
      </c>
    </row>
    <row r="17" spans="1:11" ht="22.5" customHeight="1" x14ac:dyDescent="0.35">
      <c r="A17" s="68">
        <f t="shared" si="4"/>
        <v>10</v>
      </c>
      <c r="B17" s="85" t="s">
        <v>159</v>
      </c>
      <c r="C17" s="7" t="s">
        <v>22</v>
      </c>
      <c r="D17" s="7">
        <v>7</v>
      </c>
      <c r="E17" s="10">
        <v>0</v>
      </c>
      <c r="F17" s="66">
        <f t="shared" ref="F17" si="6">D17*E17</f>
        <v>0</v>
      </c>
      <c r="G17" s="5" t="s">
        <v>132</v>
      </c>
    </row>
    <row r="18" spans="1:11" ht="22.5" customHeight="1" x14ac:dyDescent="0.35">
      <c r="A18" s="68">
        <f t="shared" si="4"/>
        <v>11</v>
      </c>
      <c r="B18" s="85" t="s">
        <v>160</v>
      </c>
      <c r="C18" s="7" t="s">
        <v>27</v>
      </c>
      <c r="D18" s="7">
        <v>10</v>
      </c>
      <c r="E18" s="10">
        <v>0</v>
      </c>
      <c r="F18" s="66">
        <f>D18*E18</f>
        <v>0</v>
      </c>
      <c r="G18" s="5" t="s">
        <v>132</v>
      </c>
    </row>
    <row r="19" spans="1:11" ht="22.5" customHeight="1" x14ac:dyDescent="0.35">
      <c r="A19" s="73" t="s">
        <v>162</v>
      </c>
      <c r="B19" s="85"/>
      <c r="C19" s="7"/>
      <c r="D19" s="86"/>
      <c r="E19"/>
      <c r="F19" s="66"/>
      <c r="G19" s="5" t="s">
        <v>132</v>
      </c>
      <c r="J19" t="s">
        <v>167</v>
      </c>
    </row>
    <row r="20" spans="1:11" ht="22.5" customHeight="1" x14ac:dyDescent="0.35">
      <c r="A20" s="68">
        <v>12</v>
      </c>
      <c r="B20" s="85" t="s">
        <v>163</v>
      </c>
      <c r="C20" s="7" t="s">
        <v>27</v>
      </c>
      <c r="D20" s="7">
        <v>199</v>
      </c>
      <c r="E20" s="10">
        <v>0</v>
      </c>
      <c r="F20" s="66">
        <f>D20*E20</f>
        <v>0</v>
      </c>
      <c r="G20" s="5" t="s">
        <v>132</v>
      </c>
      <c r="J20" t="s">
        <v>168</v>
      </c>
      <c r="K20">
        <f>20.39*2</f>
        <v>40.78</v>
      </c>
    </row>
    <row r="21" spans="1:11" ht="22.5" customHeight="1" x14ac:dyDescent="0.35">
      <c r="A21" s="68">
        <v>13</v>
      </c>
      <c r="B21" s="85" t="s">
        <v>164</v>
      </c>
      <c r="C21" s="7" t="s">
        <v>27</v>
      </c>
      <c r="D21" s="7">
        <v>327</v>
      </c>
      <c r="E21" s="10">
        <v>0</v>
      </c>
      <c r="F21" s="66">
        <f t="shared" ref="F21:F22" si="7">D21*E21</f>
        <v>0</v>
      </c>
      <c r="G21" s="5" t="s">
        <v>132</v>
      </c>
      <c r="J21" t="s">
        <v>169</v>
      </c>
      <c r="K21">
        <f>3.1*4</f>
        <v>12.4</v>
      </c>
    </row>
    <row r="22" spans="1:11" ht="22.5" customHeight="1" x14ac:dyDescent="0.35">
      <c r="A22" s="68">
        <v>14</v>
      </c>
      <c r="B22" s="85" t="s">
        <v>165</v>
      </c>
      <c r="C22" s="7" t="s">
        <v>27</v>
      </c>
      <c r="D22" s="7">
        <v>27</v>
      </c>
      <c r="E22" s="10">
        <v>0</v>
      </c>
      <c r="F22" s="66">
        <f t="shared" si="7"/>
        <v>0</v>
      </c>
      <c r="G22" s="5" t="s">
        <v>132</v>
      </c>
      <c r="J22" t="s">
        <v>170</v>
      </c>
      <c r="K22">
        <f>((118.72/9)*2)+((35.26/9)*2)</f>
        <v>34.217777777777776</v>
      </c>
    </row>
    <row r="23" spans="1:11" ht="22.5" customHeight="1" x14ac:dyDescent="0.35">
      <c r="A23" s="68">
        <v>15</v>
      </c>
      <c r="B23" s="85" t="s">
        <v>166</v>
      </c>
      <c r="C23" s="7" t="s">
        <v>27</v>
      </c>
      <c r="D23" s="7">
        <f>SUM(K20:K24)</f>
        <v>253.62</v>
      </c>
      <c r="E23" s="10">
        <v>0</v>
      </c>
      <c r="F23" s="66">
        <f t="shared" ref="F23" si="8">D23*E23</f>
        <v>0</v>
      </c>
      <c r="G23" s="5" t="s">
        <v>132</v>
      </c>
      <c r="J23" t="s">
        <v>171</v>
      </c>
      <c r="K23">
        <f>1352/9</f>
        <v>150.22222222222223</v>
      </c>
    </row>
    <row r="24" spans="1:11" ht="22.5" customHeight="1" x14ac:dyDescent="0.35">
      <c r="A24" s="73"/>
      <c r="B24" s="36"/>
      <c r="D24" s="24"/>
      <c r="E24" s="27" t="s">
        <v>28</v>
      </c>
      <c r="F24" s="66">
        <f>SUM(F7:F18)</f>
        <v>0</v>
      </c>
      <c r="J24" t="s">
        <v>172</v>
      </c>
      <c r="K24">
        <f>(((5*2)+2)*12)/9</f>
        <v>16</v>
      </c>
    </row>
    <row r="25" spans="1:11" ht="19.5" customHeight="1" x14ac:dyDescent="0.35">
      <c r="A25" s="73"/>
      <c r="B25" s="36"/>
      <c r="D25" s="24"/>
      <c r="E25" s="27"/>
      <c r="F25" s="66"/>
    </row>
    <row r="26" spans="1:11" ht="60.75" customHeight="1" x14ac:dyDescent="0.2">
      <c r="A26" s="175" t="s">
        <v>7</v>
      </c>
      <c r="B26" s="194" t="s">
        <v>8</v>
      </c>
      <c r="C26" s="194"/>
      <c r="D26" s="194"/>
      <c r="E26" s="194"/>
      <c r="F26" s="195"/>
    </row>
    <row r="27" spans="1:11" ht="93" customHeight="1" x14ac:dyDescent="0.2">
      <c r="A27" s="175" t="s">
        <v>48</v>
      </c>
      <c r="B27" s="194" t="s">
        <v>9</v>
      </c>
      <c r="C27" s="194"/>
      <c r="D27" s="194"/>
      <c r="E27" s="194"/>
      <c r="F27" s="195"/>
    </row>
    <row r="28" spans="1:11" x14ac:dyDescent="0.2">
      <c r="A28" s="176"/>
      <c r="E28" s="31" t="s">
        <v>10</v>
      </c>
      <c r="F28" s="178"/>
    </row>
    <row r="29" spans="1:11" ht="13.5" thickBot="1" x14ac:dyDescent="0.25">
      <c r="A29" s="177"/>
      <c r="B29" s="83"/>
      <c r="C29" s="83"/>
      <c r="D29" s="83"/>
      <c r="E29" s="174" t="s">
        <v>11</v>
      </c>
      <c r="F29" s="179"/>
    </row>
    <row r="32" spans="1:11" ht="63.75" customHeight="1" x14ac:dyDescent="0.2"/>
    <row r="34" ht="90" customHeight="1" x14ac:dyDescent="0.2"/>
  </sheetData>
  <mergeCells count="5">
    <mergeCell ref="A4:E4"/>
    <mergeCell ref="B1:D1"/>
    <mergeCell ref="B2:D2"/>
    <mergeCell ref="B27:F27"/>
    <mergeCell ref="B26:F26"/>
  </mergeCells>
  <printOptions horizontalCentered="1" verticalCentered="1"/>
  <pageMargins left="0.56000000000000005" right="0.2" top="0.52" bottom="0.25" header="0.5" footer="0.35"/>
  <pageSetup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E8884-7723-46AC-A10C-A8E582D50FCD}">
  <dimension ref="A1:L33"/>
  <sheetViews>
    <sheetView view="pageBreakPreview" zoomScale="130" zoomScaleNormal="100" zoomScaleSheetLayoutView="130" workbookViewId="0">
      <selection activeCell="I18" sqref="I18"/>
    </sheetView>
  </sheetViews>
  <sheetFormatPr defaultRowHeight="12.75" x14ac:dyDescent="0.2"/>
  <cols>
    <col min="1" max="1" width="6.7109375" customWidth="1"/>
    <col min="2" max="2" width="43" customWidth="1"/>
    <col min="3" max="3" width="10.42578125" customWidth="1"/>
    <col min="4" max="4" width="12" customWidth="1"/>
    <col min="5" max="5" width="13.42578125" style="4" customWidth="1"/>
    <col min="6" max="6" width="14.85546875" customWidth="1"/>
    <col min="7" max="8" width="13.28515625" customWidth="1"/>
  </cols>
  <sheetData>
    <row r="1" spans="1:8" ht="15.75" customHeight="1" x14ac:dyDescent="0.2">
      <c r="B1" s="190" t="s">
        <v>12</v>
      </c>
      <c r="C1" s="190"/>
      <c r="D1" s="190"/>
      <c r="E1"/>
      <c r="F1" s="74">
        <f>'BID SUMMARY'!F1</f>
        <v>45958</v>
      </c>
    </row>
    <row r="2" spans="1:8" ht="15.75" x14ac:dyDescent="0.2">
      <c r="B2" s="186" t="s">
        <v>133</v>
      </c>
      <c r="C2" s="186"/>
      <c r="D2" s="186"/>
      <c r="E2" s="11" t="s">
        <v>0</v>
      </c>
      <c r="F2" s="148">
        <f>'BID SUMMARY'!F2</f>
        <v>337.11</v>
      </c>
    </row>
    <row r="3" spans="1:8" ht="17.25" customHeight="1" x14ac:dyDescent="0.2"/>
    <row r="4" spans="1:8" ht="21.75" customHeight="1" thickBot="1" x14ac:dyDescent="0.25">
      <c r="A4" s="189" t="s">
        <v>5</v>
      </c>
      <c r="B4" s="189"/>
      <c r="C4" s="189"/>
      <c r="D4" s="189"/>
      <c r="E4" s="189"/>
      <c r="F4" s="54"/>
    </row>
    <row r="5" spans="1:8" ht="26.25" customHeight="1" thickBot="1" x14ac:dyDescent="0.25">
      <c r="A5" s="64" t="s">
        <v>13</v>
      </c>
      <c r="B5" s="41" t="s">
        <v>14</v>
      </c>
      <c r="C5" s="8" t="s">
        <v>15</v>
      </c>
      <c r="D5" s="9" t="s">
        <v>16</v>
      </c>
      <c r="E5" s="8" t="s">
        <v>17</v>
      </c>
      <c r="F5" s="65" t="s">
        <v>18</v>
      </c>
    </row>
    <row r="6" spans="1:8" ht="26.25" customHeight="1" x14ac:dyDescent="0.35">
      <c r="A6" s="67">
        <v>1</v>
      </c>
      <c r="B6" s="90" t="s">
        <v>114</v>
      </c>
      <c r="C6" s="7" t="s">
        <v>19</v>
      </c>
      <c r="D6" s="25">
        <f>2102+552</f>
        <v>2654</v>
      </c>
      <c r="E6" s="10">
        <v>0</v>
      </c>
      <c r="F6" s="66">
        <f t="shared" ref="F6:F12" si="0">D6*E6</f>
        <v>0</v>
      </c>
      <c r="G6" t="s">
        <v>142</v>
      </c>
    </row>
    <row r="7" spans="1:8" ht="26.25" customHeight="1" x14ac:dyDescent="0.35">
      <c r="A7" s="67">
        <f t="shared" ref="A7:A27" si="1">A6+1</f>
        <v>2</v>
      </c>
      <c r="B7" s="90" t="s">
        <v>115</v>
      </c>
      <c r="C7" s="7" t="s">
        <v>19</v>
      </c>
      <c r="D7" s="25">
        <f>7867+95383</f>
        <v>103250</v>
      </c>
      <c r="E7" s="10">
        <v>0</v>
      </c>
      <c r="F7" s="66">
        <f t="shared" si="0"/>
        <v>0</v>
      </c>
      <c r="G7" t="s">
        <v>142</v>
      </c>
    </row>
    <row r="8" spans="1:8" s="111" customFormat="1" ht="22.5" customHeight="1" x14ac:dyDescent="0.35">
      <c r="A8" s="134">
        <v>3</v>
      </c>
      <c r="B8" s="122" t="s">
        <v>128</v>
      </c>
      <c r="C8" s="121" t="s">
        <v>19</v>
      </c>
      <c r="D8" s="133">
        <f>D7-D6</f>
        <v>100596</v>
      </c>
      <c r="E8" s="125">
        <v>0</v>
      </c>
      <c r="F8" s="132">
        <f>D8*E8</f>
        <v>0</v>
      </c>
      <c r="G8" s="111" t="s">
        <v>132</v>
      </c>
    </row>
    <row r="9" spans="1:8" ht="22.5" customHeight="1" x14ac:dyDescent="0.35">
      <c r="A9" s="67">
        <v>4</v>
      </c>
      <c r="B9" s="90" t="s">
        <v>85</v>
      </c>
      <c r="C9" s="7" t="s">
        <v>27</v>
      </c>
      <c r="D9" s="25">
        <v>2637</v>
      </c>
      <c r="E9" s="10">
        <v>0</v>
      </c>
      <c r="F9" s="66">
        <f t="shared" si="0"/>
        <v>0</v>
      </c>
      <c r="G9" t="s">
        <v>142</v>
      </c>
    </row>
    <row r="10" spans="1:8" ht="22.5" customHeight="1" x14ac:dyDescent="0.35">
      <c r="A10" s="67">
        <f t="shared" si="1"/>
        <v>5</v>
      </c>
      <c r="B10" s="90" t="s">
        <v>175</v>
      </c>
      <c r="C10" s="7" t="s">
        <v>27</v>
      </c>
      <c r="D10" s="25">
        <v>11738</v>
      </c>
      <c r="E10" s="10">
        <v>0</v>
      </c>
      <c r="F10" s="66">
        <f t="shared" si="0"/>
        <v>0</v>
      </c>
      <c r="G10" t="s">
        <v>142</v>
      </c>
    </row>
    <row r="11" spans="1:8" ht="22.5" customHeight="1" x14ac:dyDescent="0.35">
      <c r="A11" s="67">
        <f t="shared" si="1"/>
        <v>6</v>
      </c>
      <c r="B11" s="33" t="s">
        <v>66</v>
      </c>
      <c r="C11" s="7" t="s">
        <v>27</v>
      </c>
      <c r="D11" s="25">
        <v>2266</v>
      </c>
      <c r="E11" s="10">
        <v>0</v>
      </c>
      <c r="F11" s="66">
        <f t="shared" si="0"/>
        <v>0</v>
      </c>
      <c r="G11" t="s">
        <v>142</v>
      </c>
      <c r="H11" s="5"/>
    </row>
    <row r="12" spans="1:8" ht="22.5" customHeight="1" x14ac:dyDescent="0.35">
      <c r="A12" s="67">
        <f t="shared" si="1"/>
        <v>7</v>
      </c>
      <c r="B12" s="33" t="s">
        <v>173</v>
      </c>
      <c r="C12" s="7" t="s">
        <v>27</v>
      </c>
      <c r="D12" s="25">
        <v>10066</v>
      </c>
      <c r="E12" s="10">
        <v>0</v>
      </c>
      <c r="F12" s="66">
        <f t="shared" si="0"/>
        <v>0</v>
      </c>
      <c r="G12" t="s">
        <v>142</v>
      </c>
      <c r="H12" s="5"/>
    </row>
    <row r="13" spans="1:8" ht="22.5" customHeight="1" x14ac:dyDescent="0.35">
      <c r="A13" s="67">
        <f t="shared" si="1"/>
        <v>8</v>
      </c>
      <c r="B13" s="85" t="s">
        <v>174</v>
      </c>
      <c r="C13" s="7" t="s">
        <v>27</v>
      </c>
      <c r="D13" s="25">
        <f>D9</f>
        <v>2637</v>
      </c>
      <c r="E13" s="10">
        <v>0</v>
      </c>
      <c r="F13" s="66">
        <f>D10*E13</f>
        <v>0</v>
      </c>
      <c r="G13" t="s">
        <v>142</v>
      </c>
      <c r="H13" s="5"/>
    </row>
    <row r="14" spans="1:8" ht="22.5" customHeight="1" x14ac:dyDescent="0.35">
      <c r="A14" s="67">
        <f t="shared" si="1"/>
        <v>9</v>
      </c>
      <c r="B14" s="85" t="s">
        <v>176</v>
      </c>
      <c r="C14" s="7" t="s">
        <v>27</v>
      </c>
      <c r="D14" s="25">
        <f>D10</f>
        <v>11738</v>
      </c>
      <c r="E14" s="10">
        <v>0</v>
      </c>
      <c r="F14" s="66">
        <f t="shared" ref="F14:F24" si="2">D14*E14</f>
        <v>0</v>
      </c>
      <c r="G14" t="s">
        <v>142</v>
      </c>
      <c r="H14" s="5"/>
    </row>
    <row r="15" spans="1:8" ht="22.5" customHeight="1" x14ac:dyDescent="0.35">
      <c r="A15" s="67">
        <f t="shared" si="1"/>
        <v>10</v>
      </c>
      <c r="B15" t="s">
        <v>117</v>
      </c>
      <c r="C15" s="7" t="s">
        <v>78</v>
      </c>
      <c r="D15" s="25">
        <f>D11*0.2</f>
        <v>453.20000000000005</v>
      </c>
      <c r="E15" s="10">
        <v>0</v>
      </c>
      <c r="F15" s="66">
        <f t="shared" si="2"/>
        <v>0</v>
      </c>
      <c r="G15" t="s">
        <v>142</v>
      </c>
    </row>
    <row r="16" spans="1:8" ht="22.5" customHeight="1" x14ac:dyDescent="0.35">
      <c r="A16" s="67">
        <f t="shared" si="1"/>
        <v>11</v>
      </c>
      <c r="B16" t="s">
        <v>118</v>
      </c>
      <c r="C16" s="7" t="s">
        <v>78</v>
      </c>
      <c r="D16" s="25">
        <f>D12*2</f>
        <v>20132</v>
      </c>
      <c r="E16" s="10">
        <v>0</v>
      </c>
      <c r="F16" s="66">
        <f t="shared" si="2"/>
        <v>0</v>
      </c>
      <c r="G16" t="s">
        <v>142</v>
      </c>
    </row>
    <row r="17" spans="1:12" ht="22.5" customHeight="1" x14ac:dyDescent="0.35">
      <c r="A17" s="67">
        <f t="shared" si="1"/>
        <v>12</v>
      </c>
      <c r="B17" s="33" t="s">
        <v>231</v>
      </c>
      <c r="C17" s="7" t="s">
        <v>24</v>
      </c>
      <c r="D17" s="25">
        <f>(6*27)+37</f>
        <v>199</v>
      </c>
      <c r="E17" s="10">
        <v>0</v>
      </c>
      <c r="F17" s="66">
        <f t="shared" si="2"/>
        <v>0</v>
      </c>
      <c r="G17" t="s">
        <v>142</v>
      </c>
    </row>
    <row r="18" spans="1:12" s="70" customFormat="1" ht="22.5" customHeight="1" x14ac:dyDescent="0.35">
      <c r="A18" s="67">
        <f t="shared" si="1"/>
        <v>13</v>
      </c>
      <c r="B18" s="33" t="s">
        <v>55</v>
      </c>
      <c r="C18" s="7" t="s">
        <v>22</v>
      </c>
      <c r="D18" s="25">
        <v>7</v>
      </c>
      <c r="E18" s="10">
        <v>0</v>
      </c>
      <c r="F18" s="66">
        <f t="shared" si="2"/>
        <v>0</v>
      </c>
      <c r="G18" t="s">
        <v>142</v>
      </c>
      <c r="H18"/>
    </row>
    <row r="19" spans="1:12" s="70" customFormat="1" ht="22.5" customHeight="1" x14ac:dyDescent="0.35">
      <c r="A19" s="67">
        <f t="shared" si="1"/>
        <v>14</v>
      </c>
      <c r="B19" s="33" t="s">
        <v>119</v>
      </c>
      <c r="C19" s="7" t="s">
        <v>24</v>
      </c>
      <c r="D19" s="25">
        <f>H19</f>
        <v>1575.2388000000001</v>
      </c>
      <c r="E19" s="10">
        <v>0</v>
      </c>
      <c r="F19" s="66">
        <f t="shared" si="2"/>
        <v>0</v>
      </c>
      <c r="G19" t="s">
        <v>142</v>
      </c>
      <c r="H19">
        <f>133.2699*2+129.2699*2+133.2699*2+129.2699*2+133.2699*2+129.2699*2</f>
        <v>1575.2388000000001</v>
      </c>
    </row>
    <row r="20" spans="1:12" ht="22.5" customHeight="1" x14ac:dyDescent="0.35">
      <c r="A20" s="67">
        <f t="shared" si="1"/>
        <v>15</v>
      </c>
      <c r="B20" s="33" t="s">
        <v>120</v>
      </c>
      <c r="C20" s="7" t="s">
        <v>24</v>
      </c>
      <c r="D20" s="25">
        <f>H20</f>
        <v>4315.3600000000006</v>
      </c>
      <c r="E20" s="10">
        <v>0</v>
      </c>
      <c r="F20" s="66">
        <f t="shared" si="2"/>
        <v>0</v>
      </c>
      <c r="G20" t="s">
        <v>142</v>
      </c>
      <c r="H20">
        <f>1120+1120+907+907+130.68+130.68</f>
        <v>4315.3600000000006</v>
      </c>
      <c r="K20" s="70"/>
      <c r="L20" s="70"/>
    </row>
    <row r="21" spans="1:12" ht="22.5" customHeight="1" x14ac:dyDescent="0.35">
      <c r="A21" s="67">
        <f t="shared" si="1"/>
        <v>16</v>
      </c>
      <c r="B21" s="33" t="s">
        <v>29</v>
      </c>
      <c r="C21" s="7" t="s">
        <v>27</v>
      </c>
      <c r="D21" s="25">
        <v>621</v>
      </c>
      <c r="E21" s="10">
        <v>0</v>
      </c>
      <c r="F21" s="66">
        <f t="shared" ref="F21" si="3">D21*E21</f>
        <v>0</v>
      </c>
      <c r="G21" t="s">
        <v>142</v>
      </c>
      <c r="K21" s="70"/>
      <c r="L21" s="70"/>
    </row>
    <row r="22" spans="1:12" ht="22.5" customHeight="1" x14ac:dyDescent="0.35">
      <c r="A22" s="67">
        <f t="shared" si="1"/>
        <v>17</v>
      </c>
      <c r="B22" s="33" t="s">
        <v>177</v>
      </c>
      <c r="C22" s="7" t="s">
        <v>27</v>
      </c>
      <c r="D22" s="25">
        <v>240</v>
      </c>
      <c r="E22" s="10">
        <v>0</v>
      </c>
      <c r="F22" s="66">
        <f t="shared" si="2"/>
        <v>0</v>
      </c>
      <c r="G22" t="s">
        <v>142</v>
      </c>
    </row>
    <row r="23" spans="1:12" ht="22.5" customHeight="1" x14ac:dyDescent="0.35">
      <c r="A23" s="67">
        <f t="shared" si="1"/>
        <v>18</v>
      </c>
      <c r="B23" s="33" t="s">
        <v>32</v>
      </c>
      <c r="C23" s="7" t="s">
        <v>22</v>
      </c>
      <c r="D23" s="25">
        <v>18</v>
      </c>
      <c r="E23" s="10">
        <v>0</v>
      </c>
      <c r="F23" s="66">
        <f t="shared" si="2"/>
        <v>0</v>
      </c>
      <c r="G23" t="s">
        <v>142</v>
      </c>
    </row>
    <row r="24" spans="1:12" ht="26.25" customHeight="1" x14ac:dyDescent="0.35">
      <c r="A24" s="67">
        <f t="shared" si="1"/>
        <v>19</v>
      </c>
      <c r="B24" s="33" t="s">
        <v>56</v>
      </c>
      <c r="C24" s="7" t="s">
        <v>30</v>
      </c>
      <c r="D24" s="25">
        <v>1</v>
      </c>
      <c r="E24" s="10">
        <v>0</v>
      </c>
      <c r="F24" s="66">
        <f t="shared" si="2"/>
        <v>0</v>
      </c>
      <c r="G24" t="s">
        <v>142</v>
      </c>
    </row>
    <row r="25" spans="1:12" ht="22.5" customHeight="1" x14ac:dyDescent="0.35">
      <c r="A25" s="67">
        <f t="shared" si="1"/>
        <v>20</v>
      </c>
      <c r="B25" s="33" t="s">
        <v>57</v>
      </c>
      <c r="C25" s="7" t="s">
        <v>94</v>
      </c>
      <c r="D25" s="157">
        <v>4.0599999999999996</v>
      </c>
      <c r="E25" s="10">
        <v>0</v>
      </c>
      <c r="F25" s="66">
        <f>D24*E25</f>
        <v>0</v>
      </c>
      <c r="G25" t="s">
        <v>142</v>
      </c>
      <c r="H25" s="5"/>
    </row>
    <row r="26" spans="1:12" ht="22.5" customHeight="1" x14ac:dyDescent="0.35">
      <c r="A26" s="67">
        <f t="shared" si="1"/>
        <v>21</v>
      </c>
      <c r="B26" s="33" t="s">
        <v>58</v>
      </c>
      <c r="C26" s="7" t="s">
        <v>94</v>
      </c>
      <c r="D26" s="157">
        <v>0.73</v>
      </c>
      <c r="E26" s="10">
        <v>0</v>
      </c>
      <c r="F26" s="66">
        <f>D25*E26</f>
        <v>0</v>
      </c>
      <c r="G26" t="s">
        <v>142</v>
      </c>
      <c r="H26" s="5"/>
    </row>
    <row r="27" spans="1:12" ht="22.5" customHeight="1" thickBot="1" x14ac:dyDescent="0.4">
      <c r="A27" s="144">
        <f t="shared" si="1"/>
        <v>22</v>
      </c>
      <c r="B27" s="38" t="s">
        <v>116</v>
      </c>
      <c r="C27" s="23" t="s">
        <v>22</v>
      </c>
      <c r="D27" s="39">
        <v>2</v>
      </c>
      <c r="E27" s="10">
        <v>0</v>
      </c>
      <c r="F27" s="66">
        <f>D27*E27</f>
        <v>0</v>
      </c>
      <c r="G27" t="s">
        <v>142</v>
      </c>
      <c r="H27" s="5"/>
    </row>
    <row r="28" spans="1:12" ht="22.5" customHeight="1" x14ac:dyDescent="0.35">
      <c r="A28" s="6"/>
      <c r="B28" s="33"/>
      <c r="C28" s="7"/>
      <c r="D28" s="25"/>
      <c r="E28" s="78" t="s">
        <v>20</v>
      </c>
      <c r="F28" s="71">
        <f>SUM(F6:F27)</f>
        <v>0</v>
      </c>
    </row>
    <row r="29" spans="1:12" ht="52.5" customHeight="1" x14ac:dyDescent="0.2">
      <c r="A29" s="21" t="s">
        <v>48</v>
      </c>
      <c r="B29" s="196" t="s">
        <v>8</v>
      </c>
      <c r="C29" s="196"/>
      <c r="D29" s="196"/>
      <c r="E29" s="196"/>
      <c r="F29" s="196"/>
    </row>
    <row r="30" spans="1:12" ht="90" customHeight="1" x14ac:dyDescent="0.2">
      <c r="A30" s="21" t="s">
        <v>48</v>
      </c>
      <c r="B30" s="191" t="s">
        <v>9</v>
      </c>
      <c r="C30" s="191"/>
      <c r="D30" s="191"/>
      <c r="E30" s="191"/>
      <c r="F30" s="191"/>
    </row>
    <row r="31" spans="1:12" ht="69.75" customHeight="1" x14ac:dyDescent="0.2">
      <c r="A31" s="21" t="s">
        <v>48</v>
      </c>
      <c r="B31" s="191" t="s">
        <v>65</v>
      </c>
      <c r="C31" s="191"/>
      <c r="D31" s="191"/>
      <c r="E31" s="191"/>
      <c r="F31" s="191"/>
    </row>
    <row r="32" spans="1:12" ht="22.5" customHeight="1" x14ac:dyDescent="0.2">
      <c r="E32" s="31" t="s">
        <v>10</v>
      </c>
      <c r="F32" s="2"/>
    </row>
    <row r="33" spans="5:6" ht="22.5" customHeight="1" x14ac:dyDescent="0.2">
      <c r="E33" s="31" t="s">
        <v>11</v>
      </c>
      <c r="F33" s="3"/>
    </row>
  </sheetData>
  <mergeCells count="6">
    <mergeCell ref="B31:F31"/>
    <mergeCell ref="B1:D1"/>
    <mergeCell ref="B2:D2"/>
    <mergeCell ref="A4:E4"/>
    <mergeCell ref="B29:F29"/>
    <mergeCell ref="B30:F30"/>
  </mergeCells>
  <pageMargins left="0.56000000000000005" right="0.2" top="0.52" bottom="0.25" header="0.5" footer="0.35"/>
  <pageSetup scale="7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FD89-5F5F-4753-BDFA-B074E1804A23}">
  <dimension ref="A1:P26"/>
  <sheetViews>
    <sheetView view="pageBreakPreview" zoomScaleNormal="100" zoomScaleSheetLayoutView="100" workbookViewId="0">
      <selection activeCell="E1" sqref="E1:E1048576"/>
    </sheetView>
  </sheetViews>
  <sheetFormatPr defaultRowHeight="12.75" x14ac:dyDescent="0.2"/>
  <cols>
    <col min="1" max="1" width="6.7109375" customWidth="1"/>
    <col min="2" max="2" width="43" customWidth="1"/>
    <col min="3" max="3" width="10.42578125" customWidth="1"/>
    <col min="4" max="4" width="12" customWidth="1"/>
    <col min="5" max="5" width="13.42578125" style="4" customWidth="1"/>
    <col min="6" max="6" width="14.85546875" customWidth="1"/>
    <col min="7" max="8" width="13.28515625" customWidth="1"/>
  </cols>
  <sheetData>
    <row r="1" spans="1:16" ht="15.75" customHeight="1" x14ac:dyDescent="0.2">
      <c r="B1" s="190" t="s">
        <v>12</v>
      </c>
      <c r="C1" s="190"/>
      <c r="D1" s="190"/>
      <c r="E1"/>
      <c r="F1" s="74" t="s">
        <v>68</v>
      </c>
    </row>
    <row r="2" spans="1:16" ht="15.75" x14ac:dyDescent="0.2">
      <c r="B2" s="190" t="s">
        <v>67</v>
      </c>
      <c r="C2" s="190"/>
      <c r="D2" s="190"/>
      <c r="E2" s="11" t="s">
        <v>0</v>
      </c>
      <c r="F2" s="5">
        <v>337.07799999999997</v>
      </c>
    </row>
    <row r="3" spans="1:16" ht="17.25" customHeight="1" x14ac:dyDescent="0.2"/>
    <row r="4" spans="1:16" ht="21.75" customHeight="1" thickBot="1" x14ac:dyDescent="0.25">
      <c r="A4" s="189" t="s">
        <v>5</v>
      </c>
      <c r="B4" s="189"/>
      <c r="C4" s="189"/>
      <c r="D4" s="189"/>
      <c r="E4" s="189"/>
      <c r="F4" s="54"/>
    </row>
    <row r="5" spans="1:16" ht="26.25" customHeight="1" thickBot="1" x14ac:dyDescent="0.25">
      <c r="A5" s="64" t="s">
        <v>13</v>
      </c>
      <c r="B5" s="41" t="s">
        <v>14</v>
      </c>
      <c r="C5" s="8" t="s">
        <v>15</v>
      </c>
      <c r="D5" s="9" t="s">
        <v>16</v>
      </c>
      <c r="E5" s="8" t="s">
        <v>17</v>
      </c>
      <c r="F5" s="65" t="s">
        <v>18</v>
      </c>
      <c r="G5" t="s">
        <v>40</v>
      </c>
      <c r="H5" t="s">
        <v>41</v>
      </c>
    </row>
    <row r="6" spans="1:16" ht="22.5" customHeight="1" x14ac:dyDescent="0.35">
      <c r="A6" s="67">
        <v>1</v>
      </c>
      <c r="B6" s="90" t="s">
        <v>76</v>
      </c>
      <c r="C6" s="7" t="s">
        <v>27</v>
      </c>
      <c r="D6" s="25">
        <v>6743</v>
      </c>
      <c r="E6" s="10">
        <v>0</v>
      </c>
      <c r="F6" s="66">
        <v>0</v>
      </c>
      <c r="G6" t="s">
        <v>42</v>
      </c>
      <c r="L6" t="s">
        <v>88</v>
      </c>
      <c r="M6">
        <f>1106+794+39+272+(268*2)</f>
        <v>2747</v>
      </c>
      <c r="N6">
        <f>M6+3710</f>
        <v>6457</v>
      </c>
    </row>
    <row r="7" spans="1:16" ht="22.5" customHeight="1" x14ac:dyDescent="0.35">
      <c r="A7" s="67">
        <f>A6+1</f>
        <v>2</v>
      </c>
      <c r="B7" s="85" t="s">
        <v>77</v>
      </c>
      <c r="C7" s="7" t="s">
        <v>27</v>
      </c>
      <c r="D7" s="25">
        <v>6743</v>
      </c>
      <c r="E7" s="10">
        <v>0</v>
      </c>
      <c r="F7" s="66">
        <v>0</v>
      </c>
      <c r="G7" t="s">
        <v>38</v>
      </c>
      <c r="H7" s="5"/>
    </row>
    <row r="8" spans="1:16" ht="22.5" customHeight="1" x14ac:dyDescent="0.35">
      <c r="A8" s="67">
        <f t="shared" ref="A8:A15" si="0">A7+1</f>
        <v>3</v>
      </c>
      <c r="B8" s="33" t="s">
        <v>84</v>
      </c>
      <c r="C8" s="7" t="s">
        <v>27</v>
      </c>
      <c r="D8" s="25">
        <v>5815</v>
      </c>
      <c r="E8" s="10"/>
      <c r="F8" s="66"/>
      <c r="G8">
        <f>D8*0.2</f>
        <v>1163</v>
      </c>
      <c r="H8" s="5"/>
    </row>
    <row r="9" spans="1:16" ht="22.5" customHeight="1" x14ac:dyDescent="0.35">
      <c r="A9" s="67">
        <f t="shared" si="0"/>
        <v>4</v>
      </c>
      <c r="B9" t="s">
        <v>79</v>
      </c>
      <c r="C9" s="7" t="s">
        <v>78</v>
      </c>
      <c r="D9" s="25">
        <v>1163</v>
      </c>
      <c r="E9" s="10">
        <v>0</v>
      </c>
      <c r="F9" s="66">
        <f>D8*E9</f>
        <v>0</v>
      </c>
      <c r="G9" t="s">
        <v>69</v>
      </c>
    </row>
    <row r="10" spans="1:16" s="70" customFormat="1" ht="22.5" customHeight="1" x14ac:dyDescent="0.35">
      <c r="A10" s="67">
        <f t="shared" si="0"/>
        <v>5</v>
      </c>
      <c r="B10" s="33" t="s">
        <v>55</v>
      </c>
      <c r="C10" s="7" t="s">
        <v>22</v>
      </c>
      <c r="D10" s="25">
        <v>2</v>
      </c>
      <c r="E10" s="10">
        <v>0</v>
      </c>
      <c r="F10" s="66">
        <f t="shared" ref="F10:F15" si="1">D10*E10</f>
        <v>0</v>
      </c>
      <c r="G10" t="s">
        <v>69</v>
      </c>
      <c r="H10"/>
    </row>
    <row r="11" spans="1:16" ht="22.5" customHeight="1" x14ac:dyDescent="0.35">
      <c r="A11" s="67">
        <f t="shared" si="0"/>
        <v>6</v>
      </c>
      <c r="B11" s="33" t="s">
        <v>31</v>
      </c>
      <c r="C11" s="7" t="s">
        <v>24</v>
      </c>
      <c r="D11" s="25">
        <v>2747</v>
      </c>
      <c r="E11" s="10">
        <v>0</v>
      </c>
      <c r="F11" s="66">
        <f t="shared" si="1"/>
        <v>0</v>
      </c>
      <c r="G11" t="s">
        <v>69</v>
      </c>
      <c r="J11" t="s">
        <v>87</v>
      </c>
      <c r="L11" t="s">
        <v>86</v>
      </c>
      <c r="O11" t="s">
        <v>89</v>
      </c>
      <c r="P11" t="s">
        <v>90</v>
      </c>
    </row>
    <row r="12" spans="1:16" ht="22.5" customHeight="1" x14ac:dyDescent="0.35">
      <c r="A12" s="67">
        <f t="shared" si="0"/>
        <v>7</v>
      </c>
      <c r="B12" s="33" t="s">
        <v>29</v>
      </c>
      <c r="C12" s="7" t="s">
        <v>27</v>
      </c>
      <c r="D12" s="25">
        <v>241</v>
      </c>
      <c r="E12" s="10">
        <v>0</v>
      </c>
      <c r="F12" s="66">
        <f t="shared" si="1"/>
        <v>0</v>
      </c>
      <c r="G12" t="s">
        <v>69</v>
      </c>
      <c r="J12">
        <v>20747.166499999999</v>
      </c>
      <c r="L12">
        <v>41795.307699999998</v>
      </c>
      <c r="O12">
        <v>24524</v>
      </c>
      <c r="P12">
        <v>48533</v>
      </c>
    </row>
    <row r="13" spans="1:16" ht="22.5" customHeight="1" x14ac:dyDescent="0.35">
      <c r="A13" s="67">
        <f t="shared" si="0"/>
        <v>8</v>
      </c>
      <c r="B13" s="33" t="s">
        <v>81</v>
      </c>
      <c r="C13" s="7" t="s">
        <v>27</v>
      </c>
      <c r="D13" s="25">
        <v>2725</v>
      </c>
      <c r="E13" s="10"/>
      <c r="F13" s="66"/>
      <c r="J13">
        <f>J12/9</f>
        <v>2305.2407222222223</v>
      </c>
      <c r="L13">
        <v>10537.5257</v>
      </c>
      <c r="O13">
        <f>O12/9</f>
        <v>2724.8888888888887</v>
      </c>
      <c r="P13">
        <v>12150</v>
      </c>
    </row>
    <row r="14" spans="1:16" ht="22.5" customHeight="1" x14ac:dyDescent="0.35">
      <c r="A14" s="67">
        <f t="shared" si="0"/>
        <v>9</v>
      </c>
      <c r="B14" s="33" t="s">
        <v>80</v>
      </c>
      <c r="C14" s="7" t="s">
        <v>27</v>
      </c>
      <c r="D14" s="25">
        <v>2725</v>
      </c>
      <c r="E14" s="10"/>
      <c r="F14" s="66"/>
      <c r="J14">
        <f>J13+200</f>
        <v>2505.2407222222223</v>
      </c>
      <c r="P14">
        <f>SUM(P12:P13)</f>
        <v>60683</v>
      </c>
    </row>
    <row r="15" spans="1:16" ht="22.5" customHeight="1" thickBot="1" x14ac:dyDescent="0.4">
      <c r="A15" s="67">
        <f t="shared" si="0"/>
        <v>10</v>
      </c>
      <c r="B15" s="33" t="s">
        <v>32</v>
      </c>
      <c r="C15" s="7" t="s">
        <v>22</v>
      </c>
      <c r="D15" s="25">
        <v>16</v>
      </c>
      <c r="E15" s="10">
        <v>0</v>
      </c>
      <c r="F15" s="66">
        <f t="shared" si="1"/>
        <v>0</v>
      </c>
      <c r="G15" t="s">
        <v>69</v>
      </c>
      <c r="L15">
        <f>SUM(L12:L13)</f>
        <v>52332.833399999996</v>
      </c>
      <c r="P15">
        <f>P14/9</f>
        <v>6742.5555555555557</v>
      </c>
    </row>
    <row r="16" spans="1:16" ht="26.25" customHeight="1" thickBot="1" x14ac:dyDescent="0.25">
      <c r="A16" s="64" t="s">
        <v>13</v>
      </c>
      <c r="B16" s="41" t="s">
        <v>14</v>
      </c>
      <c r="C16" s="8" t="s">
        <v>15</v>
      </c>
      <c r="D16" s="9" t="s">
        <v>16</v>
      </c>
      <c r="E16" s="8" t="s">
        <v>17</v>
      </c>
      <c r="F16" s="65" t="s">
        <v>18</v>
      </c>
      <c r="G16" t="s">
        <v>40</v>
      </c>
      <c r="H16" t="s">
        <v>41</v>
      </c>
      <c r="L16">
        <f>L15/9</f>
        <v>5814.759266666666</v>
      </c>
      <c r="N16" s="25">
        <v>6373</v>
      </c>
      <c r="O16" t="s">
        <v>91</v>
      </c>
    </row>
    <row r="17" spans="1:13" ht="22.5" customHeight="1" x14ac:dyDescent="0.35">
      <c r="A17" s="67">
        <f>A15+1</f>
        <v>11</v>
      </c>
      <c r="B17" s="33" t="s">
        <v>56</v>
      </c>
      <c r="C17" s="7" t="s">
        <v>30</v>
      </c>
      <c r="D17" s="25">
        <v>1</v>
      </c>
      <c r="E17" s="10">
        <v>0</v>
      </c>
      <c r="F17" s="66">
        <f>D17*E17</f>
        <v>0</v>
      </c>
      <c r="G17" t="s">
        <v>69</v>
      </c>
      <c r="H17" s="5"/>
      <c r="J17">
        <v>22650.411100000001</v>
      </c>
      <c r="M17" s="28">
        <f>L16+N16</f>
        <v>12187.759266666666</v>
      </c>
    </row>
    <row r="18" spans="1:13" ht="22.5" customHeight="1" x14ac:dyDescent="0.35">
      <c r="A18" s="67">
        <f>A17+1</f>
        <v>12</v>
      </c>
      <c r="B18" s="33" t="s">
        <v>57</v>
      </c>
      <c r="C18" s="7" t="s">
        <v>27</v>
      </c>
      <c r="D18" s="25">
        <v>1582</v>
      </c>
      <c r="E18" s="10">
        <v>0</v>
      </c>
      <c r="F18" s="66">
        <f t="shared" ref="F18:F19" si="2">D18*E18</f>
        <v>0</v>
      </c>
      <c r="G18" t="s">
        <v>69</v>
      </c>
      <c r="H18" s="5"/>
      <c r="J18">
        <f>J17/9</f>
        <v>2516.7123444444446</v>
      </c>
      <c r="M18">
        <f>6226+6373</f>
        <v>12599</v>
      </c>
    </row>
    <row r="19" spans="1:13" ht="22.5" customHeight="1" thickBot="1" x14ac:dyDescent="0.4">
      <c r="A19" s="67">
        <f>A18+1</f>
        <v>13</v>
      </c>
      <c r="B19" s="38" t="s">
        <v>58</v>
      </c>
      <c r="C19" s="23" t="s">
        <v>27</v>
      </c>
      <c r="D19" s="39">
        <v>1582</v>
      </c>
      <c r="E19" s="22">
        <v>0</v>
      </c>
      <c r="F19" s="66">
        <f t="shared" si="2"/>
        <v>0</v>
      </c>
      <c r="G19" t="s">
        <v>69</v>
      </c>
      <c r="H19" s="5"/>
    </row>
    <row r="20" spans="1:13" ht="22.5" customHeight="1" x14ac:dyDescent="0.35">
      <c r="A20" s="6"/>
      <c r="B20" s="33"/>
      <c r="C20" s="7"/>
      <c r="D20" s="25"/>
      <c r="E20" s="78" t="s">
        <v>20</v>
      </c>
      <c r="F20" s="71">
        <f>SUM(F6:F15,F17:F19)</f>
        <v>0</v>
      </c>
    </row>
    <row r="21" spans="1:13" ht="17.25" customHeight="1" x14ac:dyDescent="0.2">
      <c r="A21" s="29" t="s">
        <v>7</v>
      </c>
      <c r="B21" s="191" t="s">
        <v>47</v>
      </c>
      <c r="C21" s="191"/>
      <c r="D21" s="191"/>
      <c r="E21" s="191"/>
      <c r="F21" s="191"/>
    </row>
    <row r="22" spans="1:13" ht="52.5" customHeight="1" x14ac:dyDescent="0.2">
      <c r="A22" s="21" t="s">
        <v>48</v>
      </c>
      <c r="B22" s="196" t="s">
        <v>8</v>
      </c>
      <c r="C22" s="196"/>
      <c r="D22" s="196"/>
      <c r="E22" s="196"/>
      <c r="F22" s="196"/>
    </row>
    <row r="23" spans="1:13" ht="90" customHeight="1" x14ac:dyDescent="0.2">
      <c r="A23" s="21" t="s">
        <v>48</v>
      </c>
      <c r="B23" s="191" t="s">
        <v>9</v>
      </c>
      <c r="C23" s="191"/>
      <c r="D23" s="191"/>
      <c r="E23" s="191"/>
      <c r="F23" s="191"/>
    </row>
    <row r="24" spans="1:13" ht="69.75" customHeight="1" x14ac:dyDescent="0.2">
      <c r="A24" s="21" t="s">
        <v>48</v>
      </c>
      <c r="B24" s="191" t="s">
        <v>65</v>
      </c>
      <c r="C24" s="191"/>
      <c r="D24" s="191"/>
      <c r="E24" s="191"/>
      <c r="F24" s="191"/>
    </row>
    <row r="25" spans="1:13" ht="22.5" customHeight="1" x14ac:dyDescent="0.2">
      <c r="E25" s="31" t="s">
        <v>10</v>
      </c>
      <c r="F25" s="2"/>
    </row>
    <row r="26" spans="1:13" ht="22.5" customHeight="1" x14ac:dyDescent="0.2">
      <c r="E26" s="31" t="s">
        <v>11</v>
      </c>
      <c r="F26" s="3"/>
    </row>
  </sheetData>
  <mergeCells count="7">
    <mergeCell ref="B24:F24"/>
    <mergeCell ref="B1:D1"/>
    <mergeCell ref="B2:D2"/>
    <mergeCell ref="A4:E4"/>
    <mergeCell ref="B21:F21"/>
    <mergeCell ref="B22:F22"/>
    <mergeCell ref="B23:F23"/>
  </mergeCells>
  <pageMargins left="0.56000000000000005" right="0.2" top="0.52" bottom="0.25" header="0.5" footer="0.3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28D26-B556-4C99-9F97-71B5619FAC11}">
  <dimension ref="A1:K13"/>
  <sheetViews>
    <sheetView tabSelected="1" view="pageBreakPreview" zoomScaleNormal="115" zoomScaleSheetLayoutView="100" workbookViewId="0">
      <selection activeCell="H11" sqref="H11"/>
    </sheetView>
  </sheetViews>
  <sheetFormatPr defaultRowHeight="12.75" x14ac:dyDescent="0.2"/>
  <cols>
    <col min="1" max="1" width="6.85546875" customWidth="1"/>
    <col min="2" max="2" width="43.7109375" bestFit="1" customWidth="1"/>
    <col min="3" max="3" width="10.7109375" customWidth="1"/>
    <col min="4" max="5" width="13.5703125" customWidth="1"/>
    <col min="6" max="6" width="15" customWidth="1"/>
    <col min="7" max="7" width="12.85546875" style="50" customWidth="1"/>
    <col min="8" max="8" width="11.5703125" style="50" bestFit="1" customWidth="1"/>
    <col min="9" max="9" width="11.85546875" bestFit="1" customWidth="1"/>
  </cols>
  <sheetData>
    <row r="1" spans="1:11" ht="15.75" customHeight="1" x14ac:dyDescent="0.2">
      <c r="B1" s="190" t="s">
        <v>12</v>
      </c>
      <c r="C1" s="190"/>
      <c r="D1" s="190"/>
      <c r="F1" s="74">
        <f>'BID SUMMARY'!F1</f>
        <v>45958</v>
      </c>
    </row>
    <row r="2" spans="1:11" ht="15.75" x14ac:dyDescent="0.2">
      <c r="B2" s="186" t="s">
        <v>133</v>
      </c>
      <c r="C2" s="186"/>
      <c r="D2" s="186"/>
      <c r="E2" s="11" t="s">
        <v>0</v>
      </c>
      <c r="F2" s="148">
        <f>'BID SUMMARY'!F2</f>
        <v>337.11</v>
      </c>
    </row>
    <row r="3" spans="1:11" ht="22.5" customHeight="1" x14ac:dyDescent="0.2">
      <c r="E3" s="4"/>
    </row>
    <row r="4" spans="1:11" ht="18.75" thickBot="1" x14ac:dyDescent="0.25">
      <c r="A4" s="105" t="s">
        <v>59</v>
      </c>
      <c r="B4" s="105"/>
      <c r="C4" s="105"/>
      <c r="D4" s="105"/>
      <c r="E4" s="106"/>
      <c r="F4" s="54"/>
    </row>
    <row r="5" spans="1:11" ht="26.25" thickBot="1" x14ac:dyDescent="0.25">
      <c r="A5" s="64" t="s">
        <v>13</v>
      </c>
      <c r="B5" s="41" t="s">
        <v>14</v>
      </c>
      <c r="C5" s="8" t="s">
        <v>15</v>
      </c>
      <c r="D5" s="9" t="s">
        <v>16</v>
      </c>
      <c r="E5" s="8" t="s">
        <v>17</v>
      </c>
      <c r="F5" s="87" t="s">
        <v>18</v>
      </c>
      <c r="G5" s="58"/>
      <c r="H5" s="50" t="s">
        <v>40</v>
      </c>
      <c r="I5" s="50" t="s">
        <v>41</v>
      </c>
    </row>
    <row r="6" spans="1:11" ht="26.25" customHeight="1" x14ac:dyDescent="0.35">
      <c r="A6" s="67">
        <v>1</v>
      </c>
      <c r="B6" s="90" t="s">
        <v>232</v>
      </c>
      <c r="C6" s="7" t="s">
        <v>24</v>
      </c>
      <c r="D6" s="25">
        <f>H6</f>
        <v>5560</v>
      </c>
      <c r="E6" s="10">
        <v>0</v>
      </c>
      <c r="F6" s="66">
        <v>0</v>
      </c>
      <c r="G6" s="10"/>
      <c r="H6" s="50">
        <f>(60*(8+3+5+5+5+5+5+5+8+4+5+5+5+5+5+5+3))+(50*(4+4))</f>
        <v>5560</v>
      </c>
      <c r="I6" s="32"/>
    </row>
    <row r="7" spans="1:11" ht="26.25" customHeight="1" thickBot="1" x14ac:dyDescent="0.4">
      <c r="A7" s="144">
        <v>2</v>
      </c>
      <c r="B7" s="158" t="s">
        <v>233</v>
      </c>
      <c r="C7" s="23" t="s">
        <v>24</v>
      </c>
      <c r="D7" s="39">
        <f>H7</f>
        <v>880</v>
      </c>
      <c r="E7" s="10">
        <v>0</v>
      </c>
      <c r="F7" s="66">
        <v>0</v>
      </c>
      <c r="G7" s="10"/>
      <c r="H7" s="50">
        <f>((60)*(4+4))+((50)*(4+4))</f>
        <v>880</v>
      </c>
      <c r="I7" s="32"/>
    </row>
    <row r="8" spans="1:11" ht="22.5" customHeight="1" x14ac:dyDescent="0.35">
      <c r="A8" s="6"/>
      <c r="B8" s="33"/>
      <c r="C8" s="7"/>
      <c r="E8" s="78" t="s">
        <v>20</v>
      </c>
      <c r="F8" s="71">
        <f>SUM(F6:F7)</f>
        <v>0</v>
      </c>
      <c r="G8"/>
      <c r="H8"/>
    </row>
    <row r="9" spans="1:11" ht="13.5" customHeight="1" x14ac:dyDescent="0.35">
      <c r="A9" s="6"/>
      <c r="B9" s="12"/>
      <c r="C9" s="55"/>
      <c r="D9" s="7"/>
      <c r="E9" s="34"/>
      <c r="F9" s="77"/>
    </row>
    <row r="10" spans="1:11" ht="54" customHeight="1" thickBot="1" x14ac:dyDescent="0.25">
      <c r="A10" s="21" t="s">
        <v>7</v>
      </c>
      <c r="B10" s="196" t="s">
        <v>8</v>
      </c>
      <c r="C10" s="196"/>
      <c r="D10" s="196"/>
      <c r="E10" s="196"/>
      <c r="F10" s="196"/>
    </row>
    <row r="11" spans="1:11" ht="89.25" customHeight="1" thickBot="1" x14ac:dyDescent="0.25">
      <c r="A11" s="21" t="s">
        <v>7</v>
      </c>
      <c r="B11" s="196" t="s">
        <v>9</v>
      </c>
      <c r="C11" s="196"/>
      <c r="D11" s="196"/>
      <c r="E11" s="196"/>
      <c r="F11" s="196"/>
      <c r="K11" s="159"/>
    </row>
    <row r="12" spans="1:11" ht="22.5" customHeight="1" x14ac:dyDescent="0.2">
      <c r="E12" s="31" t="s">
        <v>10</v>
      </c>
      <c r="F12" s="2"/>
    </row>
    <row r="13" spans="1:11" ht="22.5" customHeight="1" x14ac:dyDescent="0.2">
      <c r="E13" s="31" t="s">
        <v>11</v>
      </c>
      <c r="F13" s="3"/>
    </row>
  </sheetData>
  <mergeCells count="4">
    <mergeCell ref="B1:D1"/>
    <mergeCell ref="B2:D2"/>
    <mergeCell ref="B10:F10"/>
    <mergeCell ref="B11:F11"/>
  </mergeCells>
  <pageMargins left="0.56000000000000005" right="0.2" top="0.52" bottom="0.25" header="0.5" footer="0.35"/>
  <pageSetup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BID SUMMARY</vt:lpstr>
      <vt:lpstr>1300.2550 Grading</vt:lpstr>
      <vt:lpstr>1300.2555 Clearing TPDES</vt:lpstr>
      <vt:lpstr>1300.2750 Sewer</vt:lpstr>
      <vt:lpstr>1300.2850 Water</vt:lpstr>
      <vt:lpstr>1300.3000 Drainage</vt:lpstr>
      <vt:lpstr>1300.3316 Streets</vt:lpstr>
      <vt:lpstr>1300.3316 Collector Street</vt:lpstr>
      <vt:lpstr>Add. Alt</vt:lpstr>
      <vt:lpstr>'1300.2550 Grading'!Print_Area</vt:lpstr>
      <vt:lpstr>'1300.2555 Clearing TPDES'!Print_Area</vt:lpstr>
      <vt:lpstr>'1300.2750 Sewer'!Print_Area</vt:lpstr>
      <vt:lpstr>'1300.2850 Water'!Print_Area</vt:lpstr>
      <vt:lpstr>'1300.3000 Drainage'!Print_Area</vt:lpstr>
      <vt:lpstr>'1300.3316 Collector Street'!Print_Area</vt:lpstr>
      <vt:lpstr>'1300.3316 Streets'!Print_Area</vt:lpstr>
      <vt:lpstr>'Add. Alt'!Print_Area</vt:lpstr>
      <vt:lpstr>'BID SUMMARY'!Print_Area</vt:lpstr>
    </vt:vector>
  </TitlesOfParts>
  <Manager/>
  <Company>COSA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jr16004</dc:creator>
  <cp:keywords/>
  <dc:description/>
  <cp:lastModifiedBy>Kamden Dziuk</cp:lastModifiedBy>
  <cp:revision/>
  <cp:lastPrinted>2025-10-27T21:27:33Z</cp:lastPrinted>
  <dcterms:created xsi:type="dcterms:W3CDTF">2009-02-11T21:40:13Z</dcterms:created>
  <dcterms:modified xsi:type="dcterms:W3CDTF">2025-10-28T18:38:02Z</dcterms:modified>
  <cp:category/>
  <cp:contentStatus/>
</cp:coreProperties>
</file>